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4030" windowHeight="4305" activeTab="4"/>
  </bookViews>
  <sheets>
    <sheet name="Consolidated income statement" sheetId="9" r:id="rId1"/>
    <sheet name="Segments" sheetId="18" r:id="rId2"/>
    <sheet name="Consolidated balance sheet" sheetId="4" r:id="rId3"/>
    <sheet name="Consolidated CF" sheetId="6" r:id="rId4"/>
    <sheet name="Financial ratios" sheetId="20" r:id="rId5"/>
  </sheets>
  <externalReferences>
    <externalReference r:id="rId6"/>
  </externalReferences>
  <definedNames>
    <definedName name="_xlnm.Print_Area" localSheetId="2">'Consolidated balance sheet'!$A$1:$Q$69</definedName>
    <definedName name="_xlnm.Print_Area" localSheetId="3">'Consolidated CF'!$A$1:$Q$60</definedName>
    <definedName name="_xlnm.Print_Area" localSheetId="0">'Consolidated income statement'!$A$1:$S$33</definedName>
    <definedName name="OLE_LINK3" localSheetId="3">'Consolidated CF'!$A$18</definedName>
  </definedNames>
  <calcPr calcId="145621"/>
</workbook>
</file>

<file path=xl/calcChain.xml><?xml version="1.0" encoding="utf-8"?>
<calcChain xmlns="http://schemas.openxmlformats.org/spreadsheetml/2006/main">
  <c r="AN8" i="20" l="1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AN7" i="20"/>
  <c r="AM7" i="20"/>
  <c r="AL7" i="20"/>
  <c r="AK7" i="20"/>
  <c r="AJ7" i="20"/>
  <c r="AI7" i="20"/>
  <c r="AH7" i="20"/>
  <c r="AG7" i="20"/>
  <c r="AF7" i="20"/>
  <c r="AE7" i="20"/>
  <c r="AD7" i="20"/>
  <c r="AC7" i="20"/>
  <c r="AB7" i="20"/>
  <c r="AA7" i="20"/>
  <c r="AN6" i="20"/>
  <c r="AM6" i="20"/>
  <c r="AL6" i="20"/>
  <c r="AK6" i="20"/>
  <c r="AJ6" i="20"/>
  <c r="AI6" i="20"/>
  <c r="AH6" i="20"/>
  <c r="AG6" i="20"/>
  <c r="AF6" i="20"/>
  <c r="AE6" i="20"/>
  <c r="AD6" i="20"/>
  <c r="AC6" i="20"/>
  <c r="AB6" i="20"/>
  <c r="AA6" i="20"/>
  <c r="AN5" i="20"/>
  <c r="AM5" i="20"/>
  <c r="AL5" i="20"/>
  <c r="AK5" i="20"/>
  <c r="AJ5" i="20"/>
  <c r="AI5" i="20"/>
  <c r="AH5" i="20"/>
  <c r="AG5" i="20"/>
  <c r="AF5" i="20"/>
  <c r="AE5" i="20"/>
  <c r="AD5" i="20"/>
  <c r="AC5" i="20"/>
  <c r="AB5" i="20"/>
  <c r="AA5" i="20"/>
  <c r="AN4" i="20"/>
  <c r="AM4" i="20"/>
  <c r="AL4" i="20"/>
  <c r="AK4" i="20"/>
  <c r="AJ4" i="20"/>
  <c r="AI4" i="20"/>
  <c r="AH4" i="20"/>
  <c r="AG4" i="20"/>
  <c r="AF4" i="20"/>
  <c r="AE4" i="20"/>
  <c r="AD4" i="20"/>
  <c r="AC4" i="20"/>
  <c r="AB4" i="20"/>
  <c r="AA4" i="20"/>
  <c r="AN3" i="20"/>
  <c r="AM3" i="20"/>
  <c r="AL3" i="20"/>
  <c r="AK3" i="20"/>
  <c r="AJ3" i="20"/>
  <c r="AI3" i="20"/>
  <c r="AH3" i="20"/>
  <c r="AG3" i="20"/>
  <c r="AF3" i="20"/>
  <c r="AE3" i="20"/>
  <c r="AD3" i="20"/>
  <c r="AC3" i="20"/>
  <c r="AB3" i="20"/>
  <c r="AA3" i="20"/>
  <c r="Y28" i="9" l="1"/>
  <c r="C7" i="18" l="1"/>
  <c r="C10" i="18"/>
  <c r="U43" i="4" l="1"/>
  <c r="U51" i="6" l="1"/>
  <c r="U40" i="6"/>
  <c r="U5" i="6"/>
  <c r="U62" i="4"/>
  <c r="U63" i="4" s="1"/>
  <c r="U52" i="4"/>
  <c r="U41" i="4"/>
  <c r="U30" i="4"/>
  <c r="U18" i="4"/>
  <c r="U31" i="4" s="1"/>
  <c r="E10" i="18"/>
  <c r="Z27" i="9"/>
  <c r="Z26" i="9"/>
  <c r="Z24" i="9"/>
  <c r="Z22" i="9"/>
  <c r="Z21" i="9"/>
  <c r="Z20" i="9"/>
  <c r="Z18" i="9"/>
  <c r="Z17" i="9"/>
  <c r="Z16" i="9"/>
  <c r="Z15" i="9"/>
  <c r="Z14" i="9"/>
  <c r="Z13" i="9"/>
  <c r="Z12" i="9"/>
  <c r="Z11" i="9"/>
  <c r="Z10" i="9"/>
  <c r="Z6" i="9"/>
  <c r="Z7" i="9"/>
  <c r="Z8" i="9"/>
  <c r="Z5" i="9"/>
  <c r="Z4" i="9" s="1"/>
  <c r="Y9" i="9"/>
  <c r="Y4" i="9"/>
  <c r="Y19" i="9" s="1"/>
  <c r="Z9" i="9" l="1"/>
  <c r="U64" i="4"/>
  <c r="Z19" i="9"/>
  <c r="Z30" i="9" s="1"/>
  <c r="Z31" i="9" s="1"/>
  <c r="Y23" i="9"/>
  <c r="Y25" i="9" s="1"/>
  <c r="Y30" i="9"/>
  <c r="Y31" i="9" s="1"/>
  <c r="Z23" i="9" l="1"/>
  <c r="Z25" i="9" s="1"/>
  <c r="Z28" i="9" s="1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T53" i="6" l="1"/>
  <c r="T51" i="6"/>
  <c r="T40" i="6"/>
  <c r="T4" i="6"/>
  <c r="U4" i="6" s="1"/>
  <c r="U24" i="6" s="1"/>
  <c r="U27" i="6" s="1"/>
  <c r="U52" i="6" s="1"/>
  <c r="U55" i="6" s="1"/>
  <c r="T5" i="6"/>
  <c r="T62" i="4"/>
  <c r="S62" i="4"/>
  <c r="T52" i="4"/>
  <c r="T41" i="4"/>
  <c r="T43" i="4" s="1"/>
  <c r="T30" i="4"/>
  <c r="T18" i="4"/>
  <c r="J7" i="18"/>
  <c r="H7" i="18"/>
  <c r="E7" i="18"/>
  <c r="J10" i="18"/>
  <c r="H10" i="18"/>
  <c r="X9" i="9"/>
  <c r="X19" i="9" s="1"/>
  <c r="X23" i="9" s="1"/>
  <c r="X25" i="9" s="1"/>
  <c r="X4" i="9"/>
  <c r="T24" i="6" l="1"/>
  <c r="T27" i="6" s="1"/>
  <c r="T52" i="6" s="1"/>
  <c r="T55" i="6" s="1"/>
  <c r="T63" i="4"/>
  <c r="T64" i="4" s="1"/>
  <c r="T31" i="4"/>
  <c r="X30" i="9"/>
  <c r="X31" i="9" s="1"/>
  <c r="S40" i="6"/>
  <c r="S4" i="6"/>
  <c r="O10" i="18"/>
  <c r="M10" i="18"/>
  <c r="O7" i="18"/>
  <c r="M7" i="18"/>
  <c r="S51" i="6" l="1"/>
  <c r="S5" i="6"/>
  <c r="S52" i="4"/>
  <c r="S41" i="4"/>
  <c r="S43" i="4" s="1"/>
  <c r="S30" i="4"/>
  <c r="S18" i="4"/>
  <c r="W9" i="9"/>
  <c r="W4" i="9"/>
  <c r="S63" i="4" l="1"/>
  <c r="S64" i="4" s="1"/>
  <c r="S31" i="4"/>
  <c r="W19" i="9"/>
  <c r="W23" i="9" s="1"/>
  <c r="W25" i="9" s="1"/>
  <c r="S24" i="6" s="1"/>
  <c r="S27" i="6" s="1"/>
  <c r="S52" i="6" s="1"/>
  <c r="B44" i="4"/>
  <c r="W30" i="9" l="1"/>
  <c r="W31" i="9" s="1"/>
  <c r="R4" i="6"/>
  <c r="R51" i="6"/>
  <c r="R40" i="6"/>
  <c r="R5" i="6"/>
  <c r="R30" i="4"/>
  <c r="R62" i="4"/>
  <c r="R52" i="4"/>
  <c r="R41" i="4"/>
  <c r="R43" i="4" s="1"/>
  <c r="R18" i="4"/>
  <c r="V26" i="9"/>
  <c r="V9" i="9"/>
  <c r="V4" i="9"/>
  <c r="V19" i="9" s="1"/>
  <c r="R24" i="6" l="1"/>
  <c r="R27" i="6" s="1"/>
  <c r="R52" i="6" s="1"/>
  <c r="R31" i="4"/>
  <c r="R63" i="4"/>
  <c r="R64" i="4" s="1"/>
  <c r="V23" i="9"/>
  <c r="V25" i="9" s="1"/>
  <c r="V30" i="9"/>
  <c r="V31" i="9" s="1"/>
  <c r="U24" i="9"/>
  <c r="U22" i="9"/>
  <c r="U21" i="9"/>
  <c r="U20" i="9"/>
  <c r="Q51" i="6" l="1"/>
  <c r="Q40" i="6"/>
  <c r="Q5" i="6"/>
  <c r="Q62" i="4"/>
  <c r="Q52" i="4"/>
  <c r="Q41" i="4"/>
  <c r="Q43" i="4" s="1"/>
  <c r="Q30" i="4"/>
  <c r="Q18" i="4"/>
  <c r="U9" i="9"/>
  <c r="T9" i="9"/>
  <c r="U4" i="9"/>
  <c r="T4" i="9"/>
  <c r="Q31" i="4" l="1"/>
  <c r="Q63" i="4"/>
  <c r="Q64" i="4" s="1"/>
  <c r="T19" i="9"/>
  <c r="T30" i="9" s="1"/>
  <c r="T31" i="9" s="1"/>
  <c r="U19" i="9"/>
  <c r="T23" i="9" l="1"/>
  <c r="T25" i="9" s="1"/>
  <c r="T26" i="9" s="1"/>
  <c r="U30" i="9"/>
  <c r="U31" i="9" s="1"/>
  <c r="U23" i="9"/>
  <c r="U25" i="9" s="1"/>
  <c r="U26" i="9" l="1"/>
  <c r="Q4" i="6"/>
  <c r="Q24" i="6" s="1"/>
  <c r="Q27" i="6" s="1"/>
  <c r="Q52" i="6" s="1"/>
  <c r="Q55" i="6" s="1"/>
  <c r="R53" i="6" s="1"/>
  <c r="R55" i="6" s="1"/>
  <c r="S55" i="6" s="1"/>
  <c r="H23" i="6"/>
  <c r="G23" i="6"/>
  <c r="S14" i="18" l="1"/>
  <c r="R14" i="18"/>
  <c r="Q14" i="18"/>
  <c r="L14" i="18"/>
  <c r="G14" i="18"/>
  <c r="S13" i="18"/>
  <c r="R13" i="18"/>
  <c r="Q13" i="18"/>
  <c r="L13" i="18"/>
  <c r="G13" i="18"/>
  <c r="Q12" i="18"/>
  <c r="S11" i="18"/>
  <c r="R11" i="18"/>
  <c r="Q11" i="18"/>
  <c r="L11" i="18"/>
  <c r="G11" i="18"/>
  <c r="S10" i="18"/>
  <c r="R10" i="18"/>
  <c r="Q10" i="18"/>
  <c r="L10" i="18"/>
  <c r="G10" i="18"/>
  <c r="S9" i="18"/>
  <c r="R9" i="18"/>
  <c r="Q9" i="18"/>
  <c r="L9" i="18"/>
  <c r="G9" i="18"/>
  <c r="S8" i="18"/>
  <c r="R8" i="18"/>
  <c r="Q8" i="18"/>
  <c r="L8" i="18"/>
  <c r="G8" i="18"/>
  <c r="S7" i="18"/>
  <c r="R7" i="18"/>
  <c r="Q7" i="18"/>
  <c r="L7" i="18"/>
  <c r="G7" i="18"/>
  <c r="S6" i="18"/>
  <c r="R6" i="18"/>
  <c r="Q6" i="18"/>
  <c r="L6" i="18"/>
  <c r="G6" i="18"/>
  <c r="S5" i="18"/>
  <c r="R5" i="18"/>
  <c r="Q5" i="18"/>
  <c r="L5" i="18"/>
  <c r="G5" i="18"/>
  <c r="T9" i="18" l="1"/>
  <c r="T5" i="18"/>
  <c r="T13" i="18"/>
  <c r="T6" i="18"/>
  <c r="T10" i="18"/>
  <c r="T7" i="18"/>
  <c r="T8" i="18"/>
  <c r="T11" i="18"/>
  <c r="T14" i="18"/>
  <c r="B51" i="6" l="1"/>
  <c r="I51" i="6"/>
  <c r="J51" i="6"/>
  <c r="K51" i="6"/>
  <c r="L51" i="6"/>
  <c r="M51" i="6"/>
  <c r="N51" i="6"/>
  <c r="O51" i="6"/>
  <c r="P51" i="6"/>
  <c r="J61" i="4"/>
  <c r="I61" i="4"/>
  <c r="H61" i="4"/>
  <c r="G61" i="4"/>
  <c r="F61" i="4"/>
  <c r="E61" i="4"/>
  <c r="D61" i="4"/>
  <c r="C61" i="4"/>
  <c r="J60" i="4"/>
  <c r="I60" i="4"/>
  <c r="H60" i="4"/>
  <c r="G60" i="4"/>
  <c r="F60" i="4"/>
  <c r="E60" i="4"/>
  <c r="D60" i="4"/>
  <c r="C60" i="4"/>
  <c r="J59" i="4"/>
  <c r="I59" i="4"/>
  <c r="H59" i="4"/>
  <c r="G59" i="4"/>
  <c r="F59" i="4"/>
  <c r="E59" i="4"/>
  <c r="D59" i="4"/>
  <c r="C59" i="4"/>
  <c r="J57" i="4"/>
  <c r="I57" i="4"/>
  <c r="H57" i="4"/>
  <c r="G57" i="4"/>
  <c r="F57" i="4"/>
  <c r="E57" i="4"/>
  <c r="D57" i="4"/>
  <c r="C57" i="4"/>
  <c r="J55" i="4"/>
  <c r="I55" i="4"/>
  <c r="H55" i="4"/>
  <c r="G55" i="4"/>
  <c r="F55" i="4"/>
  <c r="E55" i="4"/>
  <c r="D55" i="4"/>
  <c r="C55" i="4"/>
  <c r="J54" i="4"/>
  <c r="I54" i="4"/>
  <c r="H54" i="4"/>
  <c r="G54" i="4"/>
  <c r="F54" i="4"/>
  <c r="E54" i="4"/>
  <c r="D54" i="4"/>
  <c r="C54" i="4"/>
  <c r="J53" i="4"/>
  <c r="I53" i="4"/>
  <c r="I62" i="4" s="1"/>
  <c r="H53" i="4"/>
  <c r="G53" i="4"/>
  <c r="F53" i="4"/>
  <c r="E53" i="4"/>
  <c r="D53" i="4"/>
  <c r="C53" i="4"/>
  <c r="J50" i="4"/>
  <c r="I50" i="4"/>
  <c r="H50" i="4"/>
  <c r="G50" i="4"/>
  <c r="F50" i="4"/>
  <c r="E50" i="4"/>
  <c r="D50" i="4"/>
  <c r="C50" i="4"/>
  <c r="J49" i="4"/>
  <c r="I49" i="4"/>
  <c r="H49" i="4"/>
  <c r="G49" i="4"/>
  <c r="F49" i="4"/>
  <c r="E49" i="4"/>
  <c r="D49" i="4"/>
  <c r="C49" i="4"/>
  <c r="J48" i="4"/>
  <c r="I48" i="4"/>
  <c r="H48" i="4"/>
  <c r="G48" i="4"/>
  <c r="F48" i="4"/>
  <c r="E48" i="4"/>
  <c r="D48" i="4"/>
  <c r="C48" i="4"/>
  <c r="J46" i="4"/>
  <c r="I46" i="4"/>
  <c r="H46" i="4"/>
  <c r="G46" i="4"/>
  <c r="F46" i="4"/>
  <c r="E46" i="4"/>
  <c r="D46" i="4"/>
  <c r="C46" i="4"/>
  <c r="J45" i="4"/>
  <c r="I45" i="4"/>
  <c r="H45" i="4"/>
  <c r="G45" i="4"/>
  <c r="F45" i="4"/>
  <c r="E45" i="4"/>
  <c r="D45" i="4"/>
  <c r="C45" i="4"/>
  <c r="J44" i="4"/>
  <c r="I44" i="4"/>
  <c r="H44" i="4"/>
  <c r="G44" i="4"/>
  <c r="F44" i="4"/>
  <c r="E44" i="4"/>
  <c r="D44" i="4"/>
  <c r="C44" i="4"/>
  <c r="J40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J36" i="4"/>
  <c r="I36" i="4"/>
  <c r="H36" i="4"/>
  <c r="G36" i="4"/>
  <c r="F36" i="4"/>
  <c r="E36" i="4"/>
  <c r="D36" i="4"/>
  <c r="C36" i="4"/>
  <c r="J33" i="4"/>
  <c r="I33" i="4"/>
  <c r="H33" i="4"/>
  <c r="G33" i="4"/>
  <c r="F33" i="4"/>
  <c r="E33" i="4"/>
  <c r="D33" i="4"/>
  <c r="C33" i="4"/>
  <c r="J28" i="4"/>
  <c r="I28" i="4"/>
  <c r="H28" i="4"/>
  <c r="G28" i="4"/>
  <c r="F28" i="4"/>
  <c r="E28" i="4"/>
  <c r="D28" i="4"/>
  <c r="C28" i="4"/>
  <c r="J25" i="4"/>
  <c r="I25" i="4"/>
  <c r="H25" i="4"/>
  <c r="G25" i="4"/>
  <c r="F25" i="4"/>
  <c r="E25" i="4"/>
  <c r="D25" i="4"/>
  <c r="C25" i="4"/>
  <c r="J24" i="4"/>
  <c r="I24" i="4"/>
  <c r="H24" i="4"/>
  <c r="G24" i="4"/>
  <c r="F24" i="4"/>
  <c r="E24" i="4"/>
  <c r="D24" i="4"/>
  <c r="C24" i="4"/>
  <c r="J23" i="4"/>
  <c r="I23" i="4"/>
  <c r="H23" i="4"/>
  <c r="G23" i="4"/>
  <c r="F23" i="4"/>
  <c r="E23" i="4"/>
  <c r="D23" i="4"/>
  <c r="C23" i="4"/>
  <c r="J22" i="4"/>
  <c r="I22" i="4"/>
  <c r="H22" i="4"/>
  <c r="G22" i="4"/>
  <c r="F22" i="4"/>
  <c r="E22" i="4"/>
  <c r="D22" i="4"/>
  <c r="C22" i="4"/>
  <c r="J20" i="4"/>
  <c r="I20" i="4"/>
  <c r="H20" i="4"/>
  <c r="G20" i="4"/>
  <c r="F20" i="4"/>
  <c r="E20" i="4"/>
  <c r="D20" i="4"/>
  <c r="C20" i="4"/>
  <c r="J19" i="4"/>
  <c r="I19" i="4"/>
  <c r="H19" i="4"/>
  <c r="G19" i="4"/>
  <c r="F19" i="4"/>
  <c r="E19" i="4"/>
  <c r="D19" i="4"/>
  <c r="C19" i="4"/>
  <c r="J17" i="4"/>
  <c r="I17" i="4"/>
  <c r="H17" i="4"/>
  <c r="G17" i="4"/>
  <c r="F17" i="4"/>
  <c r="E17" i="4"/>
  <c r="D17" i="4"/>
  <c r="C17" i="4"/>
  <c r="J15" i="4"/>
  <c r="I15" i="4"/>
  <c r="H15" i="4"/>
  <c r="G15" i="4"/>
  <c r="F15" i="4"/>
  <c r="E15" i="4"/>
  <c r="D15" i="4"/>
  <c r="C15" i="4"/>
  <c r="J13" i="4"/>
  <c r="I13" i="4"/>
  <c r="H13" i="4"/>
  <c r="G13" i="4"/>
  <c r="F13" i="4"/>
  <c r="E13" i="4"/>
  <c r="D13" i="4"/>
  <c r="C13" i="4"/>
  <c r="J12" i="4"/>
  <c r="I12" i="4"/>
  <c r="H12" i="4"/>
  <c r="G12" i="4"/>
  <c r="F12" i="4"/>
  <c r="E12" i="4"/>
  <c r="D12" i="4"/>
  <c r="C12" i="4"/>
  <c r="J11" i="4"/>
  <c r="I11" i="4"/>
  <c r="H11" i="4"/>
  <c r="G11" i="4"/>
  <c r="F11" i="4"/>
  <c r="E11" i="4"/>
  <c r="D11" i="4"/>
  <c r="C11" i="4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E9" i="4"/>
  <c r="D9" i="4"/>
  <c r="C9" i="4"/>
  <c r="J7" i="4"/>
  <c r="I7" i="4"/>
  <c r="H7" i="4"/>
  <c r="G7" i="4"/>
  <c r="F7" i="4"/>
  <c r="E7" i="4"/>
  <c r="D7" i="4"/>
  <c r="J6" i="4"/>
  <c r="I6" i="4"/>
  <c r="H6" i="4"/>
  <c r="G6" i="4"/>
  <c r="F6" i="4"/>
  <c r="E6" i="4"/>
  <c r="D6" i="4"/>
  <c r="J5" i="4"/>
  <c r="I5" i="4"/>
  <c r="H5" i="4"/>
  <c r="G5" i="4"/>
  <c r="F5" i="4"/>
  <c r="E5" i="4"/>
  <c r="D5" i="4"/>
  <c r="C7" i="4"/>
  <c r="C6" i="4"/>
  <c r="C5" i="4"/>
  <c r="D8" i="4"/>
  <c r="F8" i="4"/>
  <c r="G8" i="4"/>
  <c r="H8" i="4"/>
  <c r="I8" i="4"/>
  <c r="H29" i="4"/>
  <c r="H27" i="4"/>
  <c r="H26" i="4"/>
  <c r="H21" i="4"/>
  <c r="G51" i="4"/>
  <c r="G47" i="4"/>
  <c r="G21" i="4"/>
  <c r="F29" i="4"/>
  <c r="F27" i="4"/>
  <c r="F26" i="4"/>
  <c r="F21" i="4"/>
  <c r="E26" i="4"/>
  <c r="E21" i="4"/>
  <c r="D51" i="4"/>
  <c r="D47" i="4"/>
  <c r="D29" i="4"/>
  <c r="D21" i="4"/>
  <c r="C51" i="4"/>
  <c r="C47" i="4"/>
  <c r="C29" i="4"/>
  <c r="C27" i="4"/>
  <c r="C26" i="4"/>
  <c r="C21" i="4"/>
  <c r="B61" i="4"/>
  <c r="B60" i="4"/>
  <c r="B59" i="4"/>
  <c r="B57" i="4"/>
  <c r="B55" i="4"/>
  <c r="B54" i="4"/>
  <c r="B53" i="4"/>
  <c r="L51" i="4"/>
  <c r="K51" i="4"/>
  <c r="B51" i="4"/>
  <c r="B50" i="4"/>
  <c r="B48" i="4"/>
  <c r="B47" i="4"/>
  <c r="B46" i="4"/>
  <c r="B45" i="4"/>
  <c r="B40" i="4"/>
  <c r="B38" i="4"/>
  <c r="B37" i="4"/>
  <c r="B35" i="4"/>
  <c r="B34" i="4"/>
  <c r="B33" i="4"/>
  <c r="B28" i="4"/>
  <c r="B25" i="4"/>
  <c r="B23" i="4"/>
  <c r="B22" i="4"/>
  <c r="B21" i="4"/>
  <c r="B20" i="4"/>
  <c r="B19" i="4"/>
  <c r="B17" i="4"/>
  <c r="B15" i="4"/>
  <c r="B12" i="4"/>
  <c r="B11" i="4"/>
  <c r="B10" i="4"/>
  <c r="B9" i="4"/>
  <c r="B8" i="4"/>
  <c r="B7" i="4"/>
  <c r="B6" i="4"/>
  <c r="B5" i="4"/>
  <c r="L30" i="4"/>
  <c r="O30" i="4"/>
  <c r="P30" i="4"/>
  <c r="L26" i="4"/>
  <c r="K26" i="4"/>
  <c r="K30" i="4" s="1"/>
  <c r="G30" i="4" l="1"/>
  <c r="B52" i="4"/>
  <c r="B30" i="4"/>
  <c r="J30" i="4"/>
  <c r="I30" i="4"/>
  <c r="H30" i="4"/>
  <c r="F30" i="4"/>
  <c r="E30" i="4"/>
  <c r="D30" i="4"/>
  <c r="C30" i="4"/>
  <c r="P40" i="6" l="1"/>
  <c r="P5" i="6"/>
  <c r="P62" i="4"/>
  <c r="P52" i="4"/>
  <c r="P41" i="4"/>
  <c r="P43" i="4" s="1"/>
  <c r="P18" i="4"/>
  <c r="P63" i="4" l="1"/>
  <c r="P64" i="4" s="1"/>
  <c r="P31" i="4"/>
  <c r="S9" i="9" l="1"/>
  <c r="S4" i="9"/>
  <c r="S19" i="9" l="1"/>
  <c r="S23" i="9" s="1"/>
  <c r="S25" i="9" s="1"/>
  <c r="S26" i="9" s="1"/>
  <c r="O40" i="6"/>
  <c r="O5" i="6"/>
  <c r="O24" i="6" s="1"/>
  <c r="O27" i="6" s="1"/>
  <c r="O52" i="4"/>
  <c r="O62" i="4"/>
  <c r="O41" i="4"/>
  <c r="O43" i="4" s="1"/>
  <c r="O18" i="4"/>
  <c r="R9" i="9"/>
  <c r="R4" i="9"/>
  <c r="N62" i="4"/>
  <c r="M62" i="4"/>
  <c r="N52" i="4"/>
  <c r="M52" i="4"/>
  <c r="N18" i="4"/>
  <c r="M18" i="4"/>
  <c r="N40" i="6"/>
  <c r="N5" i="6"/>
  <c r="N24" i="6" s="1"/>
  <c r="N27" i="6" s="1"/>
  <c r="N41" i="4"/>
  <c r="N43" i="4" s="1"/>
  <c r="Q9" i="9"/>
  <c r="Q4" i="9"/>
  <c r="O63" i="4" l="1"/>
  <c r="S30" i="9"/>
  <c r="S31" i="9" s="1"/>
  <c r="O52" i="6"/>
  <c r="O55" i="6" s="1"/>
  <c r="R19" i="9"/>
  <c r="R23" i="9" s="1"/>
  <c r="R25" i="9" s="1"/>
  <c r="R26" i="9" s="1"/>
  <c r="O31" i="4"/>
  <c r="N52" i="6"/>
  <c r="N55" i="6" s="1"/>
  <c r="N63" i="4"/>
  <c r="Q19" i="9"/>
  <c r="Q23" i="9" s="1"/>
  <c r="Q25" i="9" s="1"/>
  <c r="Q26" i="9" s="1"/>
  <c r="M40" i="6"/>
  <c r="M5" i="6"/>
  <c r="M41" i="4"/>
  <c r="M43" i="4" s="1"/>
  <c r="O9" i="9"/>
  <c r="O4" i="9"/>
  <c r="P24" i="9"/>
  <c r="P22" i="9"/>
  <c r="P21" i="9"/>
  <c r="P20" i="9"/>
  <c r="P18" i="9"/>
  <c r="P17" i="9"/>
  <c r="P16" i="9"/>
  <c r="P15" i="9"/>
  <c r="P14" i="9"/>
  <c r="P13" i="9"/>
  <c r="P12" i="9"/>
  <c r="P11" i="9"/>
  <c r="P10" i="9"/>
  <c r="P8" i="9"/>
  <c r="P7" i="9"/>
  <c r="P6" i="9"/>
  <c r="P5" i="9"/>
  <c r="O64" i="4" l="1"/>
  <c r="R30" i="9"/>
  <c r="R31" i="9" s="1"/>
  <c r="P4" i="6"/>
  <c r="P24" i="6" s="1"/>
  <c r="P27" i="6" s="1"/>
  <c r="P52" i="6" s="1"/>
  <c r="P55" i="6" s="1"/>
  <c r="N64" i="4"/>
  <c r="Q30" i="9"/>
  <c r="Q31" i="9" s="1"/>
  <c r="M63" i="4"/>
  <c r="O19" i="9"/>
  <c r="O30" i="9" s="1"/>
  <c r="O31" i="9" s="1"/>
  <c r="P4" i="9"/>
  <c r="P9" i="9"/>
  <c r="N9" i="9"/>
  <c r="N4" i="9"/>
  <c r="L40" i="6"/>
  <c r="L5" i="6"/>
  <c r="L62" i="4"/>
  <c r="L52" i="4"/>
  <c r="L41" i="4"/>
  <c r="L43" i="4" s="1"/>
  <c r="L18" i="4"/>
  <c r="F12" i="9"/>
  <c r="K12" i="9"/>
  <c r="F13" i="9"/>
  <c r="K13" i="9"/>
  <c r="F15" i="9"/>
  <c r="K15" i="9"/>
  <c r="F16" i="9"/>
  <c r="K16" i="9"/>
  <c r="M64" i="4" l="1"/>
  <c r="N19" i="9"/>
  <c r="N30" i="9" s="1"/>
  <c r="N31" i="9" s="1"/>
  <c r="O23" i="9"/>
  <c r="O25" i="9" s="1"/>
  <c r="O26" i="9" s="1"/>
  <c r="P19" i="9"/>
  <c r="L24" i="6"/>
  <c r="L27" i="6" s="1"/>
  <c r="L52" i="6" s="1"/>
  <c r="L55" i="6" s="1"/>
  <c r="L63" i="4"/>
  <c r="L31" i="4"/>
  <c r="L64" i="4" l="1"/>
  <c r="P30" i="9"/>
  <c r="N23" i="9"/>
  <c r="N25" i="9" s="1"/>
  <c r="N26" i="9" s="1"/>
  <c r="P23" i="9"/>
  <c r="P31" i="9" l="1"/>
  <c r="P25" i="9"/>
  <c r="P26" i="9" s="1"/>
  <c r="M4" i="6" l="1"/>
  <c r="M24" i="6" s="1"/>
  <c r="D5" i="6"/>
  <c r="C5" i="6"/>
  <c r="B5" i="6"/>
  <c r="H46" i="6"/>
  <c r="H51" i="6" s="1"/>
  <c r="G46" i="6"/>
  <c r="G51" i="6" s="1"/>
  <c r="F46" i="6"/>
  <c r="F51" i="6" s="1"/>
  <c r="E46" i="6"/>
  <c r="E51" i="6" s="1"/>
  <c r="D46" i="6"/>
  <c r="D51" i="6" s="1"/>
  <c r="C46" i="6"/>
  <c r="C51" i="6" s="1"/>
  <c r="M27" i="6" l="1"/>
  <c r="I42" i="4"/>
  <c r="J42" i="4"/>
  <c r="H42" i="4"/>
  <c r="B40" i="6"/>
  <c r="C40" i="6"/>
  <c r="D40" i="6"/>
  <c r="E40" i="6"/>
  <c r="F40" i="6"/>
  <c r="G40" i="6"/>
  <c r="H40" i="6"/>
  <c r="I40" i="6"/>
  <c r="J40" i="6"/>
  <c r="K40" i="6"/>
  <c r="N21" i="4" l="1"/>
  <c r="N30" i="4" s="1"/>
  <c r="M21" i="4"/>
  <c r="M27" i="4"/>
  <c r="M52" i="6"/>
  <c r="K5" i="6"/>
  <c r="K62" i="4"/>
  <c r="K52" i="4"/>
  <c r="K41" i="4"/>
  <c r="K43" i="4" s="1"/>
  <c r="K18" i="4"/>
  <c r="C9" i="9"/>
  <c r="D9" i="9"/>
  <c r="E9" i="9"/>
  <c r="G9" i="9"/>
  <c r="H9" i="9"/>
  <c r="I9" i="9"/>
  <c r="J9" i="9"/>
  <c r="M9" i="9"/>
  <c r="B9" i="9"/>
  <c r="M4" i="9"/>
  <c r="H4" i="9"/>
  <c r="I4" i="9"/>
  <c r="J4" i="9"/>
  <c r="G4" i="9"/>
  <c r="K24" i="9"/>
  <c r="F24" i="9"/>
  <c r="K21" i="9"/>
  <c r="K22" i="9"/>
  <c r="K20" i="9"/>
  <c r="F21" i="9"/>
  <c r="F22" i="9"/>
  <c r="F20" i="9"/>
  <c r="K11" i="9"/>
  <c r="K14" i="9"/>
  <c r="K17" i="9"/>
  <c r="K18" i="9"/>
  <c r="K10" i="9"/>
  <c r="F11" i="9"/>
  <c r="F14" i="9"/>
  <c r="F17" i="9"/>
  <c r="F18" i="9"/>
  <c r="F10" i="9"/>
  <c r="K6" i="9"/>
  <c r="K7" i="9"/>
  <c r="K8" i="9"/>
  <c r="K5" i="9"/>
  <c r="F6" i="9"/>
  <c r="F7" i="9"/>
  <c r="F8" i="9"/>
  <c r="F5" i="9"/>
  <c r="C4" i="9"/>
  <c r="D4" i="9"/>
  <c r="E4" i="9"/>
  <c r="B4" i="9"/>
  <c r="M30" i="4" l="1"/>
  <c r="H41" i="4"/>
  <c r="H43" i="4" s="1"/>
  <c r="D62" i="4"/>
  <c r="C52" i="4"/>
  <c r="G41" i="4"/>
  <c r="G43" i="4" s="1"/>
  <c r="H52" i="4"/>
  <c r="I41" i="4"/>
  <c r="I43" i="4" s="1"/>
  <c r="C62" i="4"/>
  <c r="E62" i="4"/>
  <c r="I52" i="4"/>
  <c r="F41" i="4"/>
  <c r="F43" i="4" s="1"/>
  <c r="D41" i="4"/>
  <c r="D43" i="4" s="1"/>
  <c r="J62" i="4"/>
  <c r="E52" i="4"/>
  <c r="B41" i="4"/>
  <c r="B43" i="4" s="1"/>
  <c r="D52" i="4"/>
  <c r="G62" i="4"/>
  <c r="F62" i="4"/>
  <c r="J52" i="4"/>
  <c r="G52" i="4"/>
  <c r="B62" i="4"/>
  <c r="E41" i="4"/>
  <c r="E43" i="4" s="1"/>
  <c r="J18" i="4"/>
  <c r="H62" i="4"/>
  <c r="F52" i="4"/>
  <c r="C41" i="4"/>
  <c r="C43" i="4" s="1"/>
  <c r="J41" i="4"/>
  <c r="J43" i="4" s="1"/>
  <c r="M55" i="6"/>
  <c r="F9" i="9"/>
  <c r="L9" i="9"/>
  <c r="L4" i="9"/>
  <c r="F18" i="4"/>
  <c r="E18" i="4"/>
  <c r="G18" i="4"/>
  <c r="B18" i="4"/>
  <c r="H18" i="4"/>
  <c r="I18" i="4"/>
  <c r="D18" i="4"/>
  <c r="C18" i="4"/>
  <c r="K31" i="4"/>
  <c r="K63" i="4"/>
  <c r="K9" i="9"/>
  <c r="B19" i="9"/>
  <c r="D63" i="4" l="1"/>
  <c r="H63" i="4"/>
  <c r="H64" i="4" s="1"/>
  <c r="B63" i="4"/>
  <c r="B64" i="4" s="1"/>
  <c r="J63" i="4"/>
  <c r="J64" i="4" s="1"/>
  <c r="I63" i="4"/>
  <c r="I64" i="4" s="1"/>
  <c r="F31" i="4"/>
  <c r="E63" i="4"/>
  <c r="E64" i="4" s="1"/>
  <c r="C63" i="4"/>
  <c r="C64" i="4" s="1"/>
  <c r="D64" i="4"/>
  <c r="G63" i="4"/>
  <c r="G64" i="4" s="1"/>
  <c r="I31" i="4"/>
  <c r="N31" i="4"/>
  <c r="F63" i="4"/>
  <c r="F64" i="4" s="1"/>
  <c r="G31" i="4"/>
  <c r="M31" i="4"/>
  <c r="D31" i="4"/>
  <c r="B23" i="9"/>
  <c r="B30" i="9"/>
  <c r="B31" i="9" s="1"/>
  <c r="C31" i="4"/>
  <c r="K64" i="4"/>
  <c r="B31" i="4"/>
  <c r="E31" i="4"/>
  <c r="J31" i="4"/>
  <c r="H31" i="4"/>
  <c r="M19" i="9" l="1"/>
  <c r="M30" i="9" s="1"/>
  <c r="L19" i="9"/>
  <c r="L30" i="9" s="1"/>
  <c r="J19" i="9"/>
  <c r="J30" i="9" s="1"/>
  <c r="I19" i="9"/>
  <c r="I30" i="9" s="1"/>
  <c r="H19" i="9"/>
  <c r="H30" i="9" s="1"/>
  <c r="G19" i="9"/>
  <c r="G30" i="9" s="1"/>
  <c r="E19" i="9"/>
  <c r="E30" i="9" s="1"/>
  <c r="D19" i="9"/>
  <c r="D30" i="9" s="1"/>
  <c r="C19" i="9"/>
  <c r="C30" i="9" s="1"/>
  <c r="B25" i="9"/>
  <c r="B26" i="9" s="1"/>
  <c r="K4" i="9"/>
  <c r="F4" i="9"/>
  <c r="F19" i="9" s="1"/>
  <c r="F30" i="9" s="1"/>
  <c r="D23" i="9" l="1"/>
  <c r="D25" i="9" s="1"/>
  <c r="D26" i="9" s="1"/>
  <c r="D31" i="9"/>
  <c r="L23" i="9"/>
  <c r="L25" i="9" s="1"/>
  <c r="L26" i="9" s="1"/>
  <c r="L31" i="9"/>
  <c r="G31" i="9"/>
  <c r="G23" i="9"/>
  <c r="G25" i="9" s="1"/>
  <c r="G26" i="9" s="1"/>
  <c r="J31" i="9"/>
  <c r="J23" i="9"/>
  <c r="J25" i="9" s="1"/>
  <c r="J26" i="9" s="1"/>
  <c r="H23" i="9"/>
  <c r="H25" i="9" s="1"/>
  <c r="H26" i="9" s="1"/>
  <c r="H31" i="9"/>
  <c r="C23" i="9"/>
  <c r="C25" i="9" s="1"/>
  <c r="C26" i="9" s="1"/>
  <c r="C31" i="9"/>
  <c r="E31" i="9"/>
  <c r="E23" i="9"/>
  <c r="E25" i="9" s="1"/>
  <c r="E26" i="9" s="1"/>
  <c r="I23" i="9"/>
  <c r="I25" i="9" s="1"/>
  <c r="I26" i="9" s="1"/>
  <c r="I31" i="9"/>
  <c r="M23" i="9"/>
  <c r="M25" i="9" s="1"/>
  <c r="M26" i="9" s="1"/>
  <c r="M31" i="9"/>
  <c r="K19" i="9"/>
  <c r="F23" i="9"/>
  <c r="F25" i="9" s="1"/>
  <c r="F26" i="9" s="1"/>
  <c r="F31" i="9"/>
  <c r="K23" i="9" l="1"/>
  <c r="K25" i="9" s="1"/>
  <c r="K26" i="9" s="1"/>
  <c r="K30" i="9"/>
  <c r="K31" i="9" s="1"/>
  <c r="K4" i="6"/>
  <c r="K24" i="6" s="1"/>
  <c r="K27" i="6" s="1"/>
  <c r="K52" i="6" s="1"/>
  <c r="K55" i="6" s="1"/>
  <c r="C24" i="6" l="1"/>
  <c r="C27" i="6" s="1"/>
  <c r="C52" i="6" l="1"/>
  <c r="C55" i="6" s="1"/>
  <c r="E5" i="6" l="1"/>
  <c r="E24" i="6" s="1"/>
  <c r="E27" i="6" s="1"/>
  <c r="E52" i="6" s="1"/>
  <c r="E55" i="6" s="1"/>
  <c r="J5" i="6"/>
  <c r="J24" i="6" s="1"/>
  <c r="J27" i="6" s="1"/>
  <c r="J52" i="6" s="1"/>
  <c r="J55" i="6" s="1"/>
  <c r="B24" i="6"/>
  <c r="B27" i="6" s="1"/>
  <c r="B52" i="6" s="1"/>
  <c r="B55" i="6" s="1"/>
  <c r="F5" i="6"/>
  <c r="F24" i="6" s="1"/>
  <c r="F27" i="6" s="1"/>
  <c r="F52" i="6" s="1"/>
  <c r="F55" i="6" s="1"/>
  <c r="G5" i="6"/>
  <c r="G24" i="6" s="1"/>
  <c r="G27" i="6" s="1"/>
  <c r="G52" i="6" s="1"/>
  <c r="G55" i="6" s="1"/>
  <c r="D24" i="6"/>
  <c r="D27" i="6" s="1"/>
  <c r="D52" i="6" s="1"/>
  <c r="D55" i="6" s="1"/>
  <c r="I5" i="6"/>
  <c r="I24" i="6" s="1"/>
  <c r="I27" i="6" s="1"/>
  <c r="I52" i="6" s="1"/>
  <c r="I55" i="6" s="1"/>
  <c r="H5" i="6"/>
  <c r="H24" i="6" s="1"/>
  <c r="H27" i="6" s="1"/>
  <c r="H52" i="6" s="1"/>
  <c r="H55" i="6" s="1"/>
</calcChain>
</file>

<file path=xl/sharedStrings.xml><?xml version="1.0" encoding="utf-8"?>
<sst xmlns="http://schemas.openxmlformats.org/spreadsheetml/2006/main" count="313" uniqueCount="217">
  <si>
    <t>EBITDA</t>
  </si>
  <si>
    <t>2)</t>
  </si>
  <si>
    <t>Q1</t>
  </si>
  <si>
    <t>Q2</t>
  </si>
  <si>
    <t>Q3</t>
  </si>
  <si>
    <t>Q4</t>
  </si>
  <si>
    <t>CYFROWY POLSAT S.A. CAPITAL GROUP</t>
  </si>
  <si>
    <t>CONSOLIDATED INCOME STATEMENT</t>
  </si>
  <si>
    <t>(in millions of PLN)</t>
  </si>
  <si>
    <t>Revenue</t>
  </si>
  <si>
    <t>Retail revenue</t>
  </si>
  <si>
    <t>Wholesale revenue</t>
  </si>
  <si>
    <t xml:space="preserve">Sale of equipment </t>
  </si>
  <si>
    <t>Other revenue</t>
  </si>
  <si>
    <t>Operating costs</t>
  </si>
  <si>
    <t>Content costs</t>
  </si>
  <si>
    <t>Distribution, marketing, customer relation management and retention costs</t>
  </si>
  <si>
    <t>Depreciation, amortization, impairment and liquidation</t>
  </si>
  <si>
    <t>Technical costs and cost of settlements with telecommunication operators</t>
  </si>
  <si>
    <t>Salaries and employee-related costs</t>
  </si>
  <si>
    <t>Cost of equipment sold</t>
  </si>
  <si>
    <t>Cost of debt collection services and bad debt allowance and receivables written off</t>
  </si>
  <si>
    <t>Other costs</t>
  </si>
  <si>
    <t>Other operating income, net</t>
  </si>
  <si>
    <t>Profit from operating activities</t>
  </si>
  <si>
    <t>Gain/loss on investment activities, net</t>
  </si>
  <si>
    <t>Finance costs</t>
  </si>
  <si>
    <t>Share of the profit of a joint venture accounted for using the equity method</t>
  </si>
  <si>
    <t>Gross profit for the period</t>
  </si>
  <si>
    <t>Income tax</t>
  </si>
  <si>
    <t>Net profit for the period</t>
  </si>
  <si>
    <t>SEGMENT OF SERVICES TO INDIVIDUAL AND BUSINESS CUSTOMERS</t>
  </si>
  <si>
    <t>BROADCASTING AND TELEVISION PRODUCTION SEGMENT</t>
  </si>
  <si>
    <t>CONSOLIDATION ADJUSTMENTS</t>
  </si>
  <si>
    <t>TOTAL</t>
  </si>
  <si>
    <t>Change</t>
  </si>
  <si>
    <t xml:space="preserve">Revenues from sales to third parties </t>
  </si>
  <si>
    <t>Inter-segment revenues</t>
  </si>
  <si>
    <t>Revenues</t>
  </si>
  <si>
    <t xml:space="preserve">Profit from operating activities </t>
  </si>
  <si>
    <t xml:space="preserve">Acquisition of property, plant and equipment, reception equipment and other intangible assets </t>
  </si>
  <si>
    <t>Assets, including:</t>
  </si>
  <si>
    <t>Investments in joint ventures</t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</si>
  <si>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This item also includes the acquisition of reception equipment for operating lease purposes.</t>
    </r>
  </si>
  <si>
    <t>March 31</t>
  </si>
  <si>
    <t>June 30</t>
  </si>
  <si>
    <t xml:space="preserve"> September 30</t>
  </si>
  <si>
    <t>December 31</t>
  </si>
  <si>
    <t>CONSOLIDATED BALANCE SHEET</t>
  </si>
  <si>
    <t>ASSETS</t>
  </si>
  <si>
    <t>Reception equipment</t>
  </si>
  <si>
    <t>Other property, plant and equipment</t>
  </si>
  <si>
    <t xml:space="preserve">Goodwill </t>
  </si>
  <si>
    <t>Brands</t>
  </si>
  <si>
    <t xml:space="preserve">Other intangible assets </t>
  </si>
  <si>
    <t>Non-current programming assets</t>
  </si>
  <si>
    <t>Investment property</t>
  </si>
  <si>
    <t>includes derivative instruments assets</t>
  </si>
  <si>
    <t>Deferred tax assets</t>
  </si>
  <si>
    <t>Total non-current assets</t>
  </si>
  <si>
    <t>Current programming assets</t>
  </si>
  <si>
    <t>Inventories</t>
  </si>
  <si>
    <t>Loans granted to related parties</t>
  </si>
  <si>
    <t>Income tax receivable</t>
  </si>
  <si>
    <t>Short-term deposits</t>
  </si>
  <si>
    <t>Cash and cash equivalents</t>
  </si>
  <si>
    <t>Restricted cash</t>
  </si>
  <si>
    <t>Total current assets</t>
  </si>
  <si>
    <t>TOTAL ASSETS</t>
  </si>
  <si>
    <t>EQUITY AND LIABILITIES</t>
  </si>
  <si>
    <t>Share capital</t>
  </si>
  <si>
    <t>Reserve capital</t>
  </si>
  <si>
    <t>Other reserves</t>
  </si>
  <si>
    <t>Hedge valuation reserve</t>
  </si>
  <si>
    <t>Currency translation adjustmnet</t>
  </si>
  <si>
    <t>Retained earnings</t>
  </si>
  <si>
    <t>Equity attributable to equity holders of the Parent</t>
  </si>
  <si>
    <t>Non-controlling interests</t>
  </si>
  <si>
    <t>Total equity</t>
  </si>
  <si>
    <t>Loans and borrowings</t>
  </si>
  <si>
    <t>Issued bonds</t>
  </si>
  <si>
    <t>Finance lease liabilities</t>
  </si>
  <si>
    <t>Deferred tax liabilities</t>
  </si>
  <si>
    <t>Other non-current liabilities and provisions</t>
  </si>
  <si>
    <t>includes derivative instruments liabilities</t>
  </si>
  <si>
    <t xml:space="preserve">Total non-current liabilities </t>
  </si>
  <si>
    <t xml:space="preserve">Trade and other payables </t>
  </si>
  <si>
    <t>Income tax liability</t>
  </si>
  <si>
    <t>Deposits for equipment</t>
  </si>
  <si>
    <t>Total current liabilities</t>
  </si>
  <si>
    <t>Total liabilities</t>
  </si>
  <si>
    <t>CONSOLIDATED CASH FLOW STATEMENT</t>
  </si>
  <si>
    <t>Net profit</t>
  </si>
  <si>
    <t>Adjustments for:</t>
  </si>
  <si>
    <t>Payments for film licenses and sports rights</t>
  </si>
  <si>
    <t>Amortization of film licenses and sports rights</t>
  </si>
  <si>
    <t>(Gain)/loss on the sale of property, plant and equipment and intangible assets</t>
  </si>
  <si>
    <t>Cost of programming rights sold</t>
  </si>
  <si>
    <t>Interest expense</t>
  </si>
  <si>
    <t>Change in inventories</t>
  </si>
  <si>
    <t>Change in receivables and other assets</t>
  </si>
  <si>
    <t>Change in liabilities, provisions and deferred income</t>
  </si>
  <si>
    <t>Change in internal production and advance payments</t>
  </si>
  <si>
    <t>Valuation of hedging instruments</t>
  </si>
  <si>
    <t>Foreign exchange losses/(gains), net</t>
  </si>
  <si>
    <t>Net additions of reception equipment provided under operating lease</t>
  </si>
  <si>
    <t>Other adjustments</t>
  </si>
  <si>
    <t>Income tax paid</t>
  </si>
  <si>
    <t>Interest received from operating activities</t>
  </si>
  <si>
    <t>Acquisition of property, plant and equipment</t>
  </si>
  <si>
    <t>Acquisition of intangible assets</t>
  </si>
  <si>
    <t>Concession payments</t>
  </si>
  <si>
    <t>Acquisition of subsidiaries, net of cash acquired</t>
  </si>
  <si>
    <t>Proceeds from sale of property, plant and equipment</t>
  </si>
  <si>
    <t>Granted loans</t>
  </si>
  <si>
    <t>Repayment of loans granted</t>
  </si>
  <si>
    <t>Other investing activities - derivatives</t>
  </si>
  <si>
    <t>Dividends received</t>
  </si>
  <si>
    <t>Repayment of loans and borrowings</t>
  </si>
  <si>
    <t>Loans and  borrowings inflows</t>
  </si>
  <si>
    <t>Dividends paid</t>
  </si>
  <si>
    <t>Payment of share issuance-related consulting costs</t>
  </si>
  <si>
    <t>Net cash from/ (used in) financing activities</t>
  </si>
  <si>
    <t>Net cash from/ (used in) investing activities</t>
  </si>
  <si>
    <t>Net cash from/ (used in) operating activities</t>
  </si>
  <si>
    <t>Cash from/ (used in) operating activities</t>
  </si>
  <si>
    <t>Net increase/(decrease) in cash and cash equivalents</t>
  </si>
  <si>
    <t>Cash and cash equivalents at the beginning of the period</t>
  </si>
  <si>
    <t>Effect of exchange rate fluctuations on cash and cash equivalents</t>
  </si>
  <si>
    <t>Cash and cash equivalents at the end of the period</t>
  </si>
  <si>
    <t>3 months ended
March 31</t>
  </si>
  <si>
    <t>6 months ended
June 30</t>
  </si>
  <si>
    <t>9 months ended
September 30</t>
  </si>
  <si>
    <t>12 months ended
December 31</t>
  </si>
  <si>
    <t>1) Includes impact of hedging instruments, premium paid for early bonds’ repayment and amount paid for costs related to new financing</t>
  </si>
  <si>
    <t>Net profit attributable to equity holders of the Parent</t>
  </si>
  <si>
    <t>Basic and diluted earnings per share (in PLN)</t>
  </si>
  <si>
    <t>EBITDA margin</t>
  </si>
  <si>
    <t xml:space="preserve"> </t>
  </si>
  <si>
    <t>Early redemption option</t>
  </si>
  <si>
    <t>Early redemption fee</t>
  </si>
  <si>
    <t>Hedging instrument effect – principal</t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</si>
  <si>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</si>
  <si>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1) Results of Midas Group consolidated from February 29, 2016</t>
  </si>
  <si>
    <t>Acquisition of bonds</t>
  </si>
  <si>
    <t>Share of the profit of jointly controlled entity accounted for using the equity method</t>
  </si>
  <si>
    <t>Net profit/(loss) attributable to non-controlling interest</t>
  </si>
  <si>
    <t>EBITDA (unaudited)</t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</si>
  <si>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Includes non-current assets located outside of Poland.</t>
    </r>
  </si>
  <si>
    <t>Customer relationships</t>
  </si>
  <si>
    <t>Non-current deferred distribution fees</t>
  </si>
  <si>
    <t>Other non-current assets</t>
  </si>
  <si>
    <t>Trade and other receivables</t>
  </si>
  <si>
    <t>Current deferred distribution fees</t>
  </si>
  <si>
    <t>Other current assets</t>
  </si>
  <si>
    <t>Share premium</t>
  </si>
  <si>
    <t>Deferred income</t>
  </si>
  <si>
    <t>UMTS license liabilities</t>
  </si>
  <si>
    <t>31 December restated 1)</t>
  </si>
  <si>
    <t>1) Restatement due to final purchase price allocation of Metelem</t>
  </si>
  <si>
    <t>2) From June 30, 2015 the item "Deposits for equipment" is accounted for in the item "Trade and other payables"</t>
  </si>
  <si>
    <t>Proceeds from sale of shares in subsidaries</t>
  </si>
  <si>
    <t>Other inflows</t>
  </si>
  <si>
    <r>
      <t xml:space="preserve">Payment of interest on loans, borrowings, bonds, finance lease and commissions </t>
    </r>
    <r>
      <rPr>
        <vertAlign val="superscript"/>
        <sz val="9"/>
        <color indexed="8"/>
        <rFont val="Calibri"/>
        <family val="2"/>
        <charset val="238"/>
      </rPr>
      <t>1)</t>
    </r>
  </si>
  <si>
    <t>2) Item included in "Other adjustments".</t>
  </si>
  <si>
    <t>September 30</t>
  </si>
  <si>
    <t>Bonds (redemption)/issue</t>
  </si>
  <si>
    <t>for the twelve-month period ended</t>
  </si>
  <si>
    <t>December 31, 2016</t>
  </si>
  <si>
    <t>December 31, 2015</t>
  </si>
  <si>
    <t>Balance as at December 31 (unaudited)</t>
  </si>
  <si>
    <r>
      <t xml:space="preserve">2016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</si>
  <si>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Other outflows</t>
  </si>
  <si>
    <t>(Profit) / net loss on derivatives</t>
  </si>
  <si>
    <t>Cumulative catch-up and early redemption costs</t>
  </si>
  <si>
    <t>Q1'10</t>
  </si>
  <si>
    <t>Q2'10</t>
  </si>
  <si>
    <t>Q3'10</t>
  </si>
  <si>
    <t>Q4'10</t>
  </si>
  <si>
    <t>Q1'11</t>
  </si>
  <si>
    <t>Q2'11</t>
  </si>
  <si>
    <t>Q3'11</t>
  </si>
  <si>
    <t>Q4'11</t>
  </si>
  <si>
    <t>Q1'12</t>
  </si>
  <si>
    <t>Q2'12</t>
  </si>
  <si>
    <t>Q3'12</t>
  </si>
  <si>
    <t>Q4'12</t>
  </si>
  <si>
    <t>Q1'13</t>
  </si>
  <si>
    <t>Q2'13</t>
  </si>
  <si>
    <t>Q3'13</t>
  </si>
  <si>
    <t>Q4'13</t>
  </si>
  <si>
    <t>Q1'14</t>
  </si>
  <si>
    <t>Q2'14</t>
  </si>
  <si>
    <t>Q3'14</t>
  </si>
  <si>
    <t>Q4'14</t>
  </si>
  <si>
    <t>Q1'15</t>
  </si>
  <si>
    <t>Q2'15</t>
  </si>
  <si>
    <t>Q3'15</t>
  </si>
  <si>
    <t>Q4'15</t>
  </si>
  <si>
    <t>Q1'16</t>
  </si>
  <si>
    <t>Q2'16</t>
  </si>
  <si>
    <t>Q3'16</t>
  </si>
  <si>
    <r>
      <t xml:space="preserve">EBITDA margin </t>
    </r>
    <r>
      <rPr>
        <vertAlign val="superscript"/>
        <sz val="9"/>
        <color indexed="8"/>
        <rFont val="Calibri"/>
        <family val="2"/>
        <charset val="238"/>
      </rPr>
      <t>1)</t>
    </r>
  </si>
  <si>
    <r>
      <t xml:space="preserve">Net profit margin </t>
    </r>
    <r>
      <rPr>
        <vertAlign val="superscript"/>
        <sz val="9"/>
        <color indexed="8"/>
        <rFont val="Calibri"/>
        <family val="2"/>
        <charset val="238"/>
      </rPr>
      <t>2)</t>
    </r>
  </si>
  <si>
    <t>&lt;0</t>
  </si>
  <si>
    <r>
      <t xml:space="preserve">Return on assets (ROA) </t>
    </r>
    <r>
      <rPr>
        <vertAlign val="superscript"/>
        <sz val="9"/>
        <color indexed="8"/>
        <rFont val="Calibri"/>
        <family val="2"/>
        <charset val="238"/>
      </rPr>
      <t>3)</t>
    </r>
  </si>
  <si>
    <r>
      <t xml:space="preserve">Return on equity (ROE) </t>
    </r>
    <r>
      <rPr>
        <vertAlign val="superscript"/>
        <sz val="9"/>
        <color indexed="8"/>
        <rFont val="Calibri"/>
        <family val="2"/>
        <charset val="238"/>
      </rPr>
      <t>4)</t>
    </r>
  </si>
  <si>
    <r>
      <t xml:space="preserve">Current ratio </t>
    </r>
    <r>
      <rPr>
        <vertAlign val="superscript"/>
        <sz val="9"/>
        <color indexed="8"/>
        <rFont val="Calibri"/>
        <family val="2"/>
        <charset val="238"/>
      </rPr>
      <t>5)</t>
    </r>
  </si>
  <si>
    <r>
      <t xml:space="preserve">Debt ratio </t>
    </r>
    <r>
      <rPr>
        <vertAlign val="superscript"/>
        <sz val="9"/>
        <color indexed="8"/>
        <rFont val="Calibri"/>
        <family val="2"/>
        <charset val="238"/>
      </rPr>
      <t>6)</t>
    </r>
  </si>
  <si>
    <r>
      <rPr>
        <i/>
        <vertAlign val="superscript"/>
        <sz val="9"/>
        <color indexed="8"/>
        <rFont val="Calibri"/>
        <family val="2"/>
        <charset val="238"/>
      </rPr>
      <t>1)</t>
    </r>
    <r>
      <rPr>
        <i/>
        <sz val="9"/>
        <color indexed="8"/>
        <rFont val="Calibri"/>
        <family val="2"/>
        <charset val="238"/>
      </rPr>
      <t xml:space="preserve"> EBITDA/sales revenue</t>
    </r>
  </si>
  <si>
    <r>
      <rPr>
        <i/>
        <vertAlign val="superscript"/>
        <sz val="9"/>
        <color indexed="8"/>
        <rFont val="Calibri"/>
        <family val="2"/>
        <charset val="238"/>
      </rPr>
      <t>2)</t>
    </r>
    <r>
      <rPr>
        <i/>
        <sz val="9"/>
        <color indexed="8"/>
        <rFont val="Calibri"/>
        <family val="2"/>
        <charset val="238"/>
      </rPr>
      <t xml:space="preserve"> net profit/sales revenue</t>
    </r>
  </si>
  <si>
    <r>
      <rPr>
        <i/>
        <vertAlign val="superscript"/>
        <sz val="9"/>
        <color indexed="8"/>
        <rFont val="Calibri"/>
        <family val="2"/>
        <charset val="238"/>
      </rPr>
      <t xml:space="preserve">3) </t>
    </r>
    <r>
      <rPr>
        <i/>
        <sz val="9"/>
        <color indexed="8"/>
        <rFont val="Calibri"/>
        <family val="2"/>
        <charset val="238"/>
      </rPr>
      <t>net profit/total assets</t>
    </r>
  </si>
  <si>
    <r>
      <rPr>
        <i/>
        <vertAlign val="superscript"/>
        <sz val="9"/>
        <color indexed="8"/>
        <rFont val="Calibri"/>
        <family val="2"/>
        <charset val="238"/>
      </rPr>
      <t>4)</t>
    </r>
    <r>
      <rPr>
        <i/>
        <sz val="9"/>
        <color indexed="8"/>
        <rFont val="Calibri"/>
        <family val="2"/>
        <charset val="238"/>
      </rPr>
      <t xml:space="preserve"> net profit/(equity-net profit)</t>
    </r>
  </si>
  <si>
    <r>
      <rPr>
        <i/>
        <vertAlign val="superscript"/>
        <sz val="9"/>
        <color indexed="8"/>
        <rFont val="Calibri"/>
        <family val="2"/>
        <charset val="238"/>
      </rPr>
      <t>5)</t>
    </r>
    <r>
      <rPr>
        <i/>
        <sz val="9"/>
        <color indexed="8"/>
        <rFont val="Calibri"/>
        <family val="2"/>
        <charset val="238"/>
      </rPr>
      <t xml:space="preserve"> current assets/current liabilities</t>
    </r>
  </si>
  <si>
    <r>
      <rPr>
        <i/>
        <vertAlign val="superscript"/>
        <sz val="9"/>
        <color indexed="8"/>
        <rFont val="Calibri"/>
        <family val="2"/>
        <charset val="238"/>
      </rPr>
      <t>6)</t>
    </r>
    <r>
      <rPr>
        <i/>
        <sz val="9"/>
        <color indexed="8"/>
        <rFont val="Calibri"/>
        <family val="2"/>
        <charset val="238"/>
      </rPr>
      <t xml:space="preserve"> total liabilities/total assets</t>
    </r>
  </si>
  <si>
    <t>FINACIAL RATIOS</t>
  </si>
  <si>
    <t>Q4'16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</si>
</sst>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164" formatCode="_(* #,##0.00_);_(* \(#,##0.00\);_(* &quot;-&quot;??_);_(@_)"/>
    <numFmt numFmtId="165" formatCode="0.0"/>
    <numFmt numFmtId="166" formatCode="0.000"/>
    <numFmt numFmtId="167" formatCode="0.0%"/>
    <numFmt numFmtId="168" formatCode="#,##0.0"/>
    <numFmt numFmtId="169" formatCode="#,##0.0;\-#,##0.0"/>
    <numFmt numFmtId="170" formatCode="###0.0;\(###0.0\)"/>
    <numFmt numFmtId="171" formatCode="#,##0.0;\(#,##0.0\)"/>
    <numFmt numFmtId="172" formatCode="_-* #,##0.00\ [$€-1]_-;\-* #,##0.00\ [$€-1]_-;_-* &quot;-&quot;??\ [$€-1]_-"/>
    <numFmt numFmtId="174" formatCode="#,##0.00;\(#,##0.00\)"/>
    <numFmt numFmtId="175" formatCode="##\.##0.0;\(##\.##0.0\)"/>
    <numFmt numFmtId="176" formatCode="#,##0.0;\(#,##0.0\);\-"/>
    <numFmt numFmtId="177" formatCode="#,##0.000;\(#,##0.000\);\-"/>
    <numFmt numFmtId="178" formatCode="#,##0;\(#,##0\);\-"/>
  </numFmts>
  <fonts count="4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vertAlign val="superscript"/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9"/>
      <name val="Arial Narrow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i/>
      <vertAlign val="superscript"/>
      <sz val="9"/>
      <color indexed="8"/>
      <name val="Calibri"/>
      <family val="2"/>
      <charset val="238"/>
    </font>
    <font>
      <b/>
      <sz val="12"/>
      <color theme="9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rgb="FFFFC000"/>
      </patternFill>
    </fill>
    <fill>
      <patternFill patternType="solid">
        <fgColor rgb="FFFFC00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theme="0" tint="-0.14996795556505021"/>
        <bgColor indexed="65"/>
      </patternFill>
    </fill>
    <fill>
      <patternFill patternType="mediumGray">
        <fgColor theme="0" tint="-4.9989318521683403E-2"/>
        <bgColor rgb="FFFFC000"/>
      </patternFill>
    </fill>
    <fill>
      <patternFill patternType="mediumGray">
        <fgColor rgb="FFF7A833"/>
        <bgColor theme="0"/>
      </patternFill>
    </fill>
    <fill>
      <patternFill patternType="lightGray">
        <fgColor theme="0" tint="-0.14996795556505021"/>
        <bgColor rgb="FFF7A833"/>
      </patternFill>
    </fill>
    <fill>
      <patternFill patternType="lightGray">
        <fgColor theme="0" tint="-0.14996795556505021"/>
        <bgColor theme="0"/>
      </patternFill>
    </fill>
    <fill>
      <patternFill patternType="lightGray">
        <fgColor theme="0" tint="-4.9989318521683403E-2"/>
        <bgColor rgb="FFF7A833"/>
      </patternFill>
    </fill>
    <fill>
      <patternFill patternType="mediumGray">
        <fgColor theme="0" tint="-4.9989318521683403E-2"/>
        <bgColor theme="9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72" fontId="12" fillId="0" borderId="0"/>
    <xf numFmtId="172" fontId="12" fillId="0" borderId="0"/>
    <xf numFmtId="172" fontId="12" fillId="0" borderId="0"/>
    <xf numFmtId="9" fontId="12" fillId="0" borderId="0" applyFont="0" applyFill="0" applyBorder="0" applyAlignment="0" applyProtection="0"/>
  </cellStyleXfs>
  <cellXfs count="383">
    <xf numFmtId="0" fontId="0" fillId="0" borderId="0" xfId="0"/>
    <xf numFmtId="0" fontId="14" fillId="3" borderId="0" xfId="0" applyFont="1" applyFill="1" applyAlignment="1">
      <alignment vertical="center"/>
    </xf>
    <xf numFmtId="0" fontId="13" fillId="4" borderId="6" xfId="0" applyFont="1" applyFill="1" applyBorder="1" applyAlignment="1">
      <alignment vertical="center" wrapText="1"/>
    </xf>
    <xf numFmtId="0" fontId="16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/>
    <xf numFmtId="0" fontId="11" fillId="0" borderId="0" xfId="0" applyFont="1"/>
    <xf numFmtId="0" fontId="17" fillId="3" borderId="4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vertical="center" wrapText="1"/>
    </xf>
    <xf numFmtId="0" fontId="18" fillId="0" borderId="0" xfId="0" applyFont="1"/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/>
    <xf numFmtId="0" fontId="19" fillId="7" borderId="6" xfId="0" applyFont="1" applyFill="1" applyBorder="1" applyAlignment="1">
      <alignment vertical="center" wrapText="1"/>
    </xf>
    <xf numFmtId="0" fontId="19" fillId="7" borderId="4" xfId="0" applyFont="1" applyFill="1" applyBorder="1" applyAlignment="1">
      <alignment vertical="center" wrapText="1"/>
    </xf>
    <xf numFmtId="0" fontId="19" fillId="7" borderId="5" xfId="0" applyFont="1" applyFill="1" applyBorder="1" applyAlignment="1">
      <alignment vertical="center" wrapText="1"/>
    </xf>
    <xf numFmtId="0" fontId="19" fillId="7" borderId="11" xfId="0" applyFont="1" applyFill="1" applyBorder="1" applyAlignment="1">
      <alignment vertical="center" wrapText="1"/>
    </xf>
    <xf numFmtId="169" fontId="11" fillId="10" borderId="0" xfId="0" applyNumberFormat="1" applyFont="1" applyFill="1" applyBorder="1" applyAlignment="1">
      <alignment horizontal="right" vertical="center"/>
    </xf>
    <xf numFmtId="171" fontId="11" fillId="10" borderId="0" xfId="0" applyNumberFormat="1" applyFont="1" applyFill="1" applyBorder="1" applyAlignment="1">
      <alignment horizontal="right" vertical="center"/>
    </xf>
    <xf numFmtId="169" fontId="11" fillId="10" borderId="10" xfId="0" applyNumberFormat="1" applyFont="1" applyFill="1" applyBorder="1" applyAlignment="1">
      <alignment horizontal="right" vertical="center"/>
    </xf>
    <xf numFmtId="171" fontId="11" fillId="10" borderId="10" xfId="0" applyNumberFormat="1" applyFont="1" applyFill="1" applyBorder="1" applyAlignment="1">
      <alignment horizontal="right" vertical="center"/>
    </xf>
    <xf numFmtId="167" fontId="19" fillId="7" borderId="5" xfId="2" applyNumberFormat="1" applyFont="1" applyFill="1" applyBorder="1" applyAlignment="1">
      <alignment vertical="center" wrapText="1"/>
    </xf>
    <xf numFmtId="167" fontId="19" fillId="7" borderId="17" xfId="2" applyNumberFormat="1" applyFont="1" applyFill="1" applyBorder="1" applyAlignment="1">
      <alignment vertical="center" wrapText="1"/>
    </xf>
    <xf numFmtId="167" fontId="19" fillId="11" borderId="18" xfId="2" applyNumberFormat="1" applyFont="1" applyFill="1" applyBorder="1" applyAlignment="1">
      <alignment vertical="center" wrapText="1"/>
    </xf>
    <xf numFmtId="167" fontId="19" fillId="11" borderId="17" xfId="2" applyNumberFormat="1" applyFont="1" applyFill="1" applyBorder="1" applyAlignment="1">
      <alignment vertical="center" wrapText="1"/>
    </xf>
    <xf numFmtId="168" fontId="19" fillId="11" borderId="11" xfId="0" applyNumberFormat="1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/>
    </xf>
    <xf numFmtId="0" fontId="18" fillId="6" borderId="2" xfId="0" applyFont="1" applyFill="1" applyBorder="1" applyAlignment="1">
      <alignment horizontal="right" vertical="center"/>
    </xf>
    <xf numFmtId="0" fontId="18" fillId="9" borderId="2" xfId="0" applyFont="1" applyFill="1" applyBorder="1" applyAlignment="1">
      <alignment horizontal="right" vertical="center"/>
    </xf>
    <xf numFmtId="0" fontId="18" fillId="6" borderId="14" xfId="0" applyFont="1" applyFill="1" applyBorder="1" applyAlignment="1">
      <alignment horizontal="right" vertical="center"/>
    </xf>
    <xf numFmtId="0" fontId="18" fillId="9" borderId="15" xfId="0" applyFont="1" applyFill="1" applyBorder="1" applyAlignment="1">
      <alignment horizontal="right" vertical="center"/>
    </xf>
    <xf numFmtId="169" fontId="18" fillId="7" borderId="7" xfId="0" applyNumberFormat="1" applyFont="1" applyFill="1" applyBorder="1" applyAlignment="1">
      <alignment vertical="center"/>
    </xf>
    <xf numFmtId="169" fontId="18" fillId="10" borderId="7" xfId="0" applyNumberFormat="1" applyFont="1" applyFill="1" applyBorder="1" applyAlignment="1">
      <alignment horizontal="right" vertical="center"/>
    </xf>
    <xf numFmtId="169" fontId="18" fillId="7" borderId="6" xfId="0" applyNumberFormat="1" applyFont="1" applyFill="1" applyBorder="1" applyAlignment="1">
      <alignment vertical="center"/>
    </xf>
    <xf numFmtId="169" fontId="18" fillId="10" borderId="8" xfId="0" applyNumberFormat="1" applyFont="1" applyFill="1" applyBorder="1" applyAlignment="1">
      <alignment horizontal="right" vertical="center"/>
    </xf>
    <xf numFmtId="171" fontId="18" fillId="7" borderId="7" xfId="0" applyNumberFormat="1" applyFont="1" applyFill="1" applyBorder="1" applyAlignment="1">
      <alignment vertical="center"/>
    </xf>
    <xf numFmtId="171" fontId="18" fillId="8" borderId="7" xfId="0" applyNumberFormat="1" applyFont="1" applyFill="1" applyBorder="1" applyAlignment="1">
      <alignment vertical="center"/>
    </xf>
    <xf numFmtId="171" fontId="18" fillId="7" borderId="6" xfId="0" applyNumberFormat="1" applyFont="1" applyFill="1" applyBorder="1" applyAlignment="1">
      <alignment vertical="center"/>
    </xf>
    <xf numFmtId="171" fontId="18" fillId="8" borderId="8" xfId="0" applyNumberFormat="1" applyFont="1" applyFill="1" applyBorder="1" applyAlignment="1">
      <alignment vertical="center"/>
    </xf>
    <xf numFmtId="169" fontId="18" fillId="8" borderId="7" xfId="0" applyNumberFormat="1" applyFont="1" applyFill="1" applyBorder="1" applyAlignment="1">
      <alignment horizontal="right" vertical="center"/>
    </xf>
    <xf numFmtId="169" fontId="18" fillId="8" borderId="8" xfId="0" applyNumberFormat="1" applyFont="1" applyFill="1" applyBorder="1" applyAlignment="1">
      <alignment horizontal="right" vertical="center"/>
    </xf>
    <xf numFmtId="0" fontId="11" fillId="3" borderId="0" xfId="0" applyFont="1" applyFill="1" applyBorder="1"/>
    <xf numFmtId="169" fontId="11" fillId="3" borderId="0" xfId="0" applyNumberFormat="1" applyFont="1" applyFill="1" applyBorder="1" applyAlignment="1">
      <alignment horizontal="right" vertical="center"/>
    </xf>
    <xf numFmtId="171" fontId="11" fillId="3" borderId="0" xfId="0" applyNumberFormat="1" applyFont="1" applyFill="1" applyBorder="1" applyAlignment="1">
      <alignment horizontal="right" vertical="center"/>
    </xf>
    <xf numFmtId="169" fontId="11" fillId="3" borderId="3" xfId="0" applyNumberFormat="1" applyFont="1" applyFill="1" applyBorder="1" applyAlignment="1">
      <alignment horizontal="right" vertical="center"/>
    </xf>
    <xf numFmtId="171" fontId="11" fillId="3" borderId="3" xfId="0" applyNumberFormat="1" applyFont="1" applyFill="1" applyBorder="1" applyAlignment="1">
      <alignment horizontal="right" vertical="center"/>
    </xf>
    <xf numFmtId="0" fontId="18" fillId="3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/>
    </xf>
    <xf numFmtId="0" fontId="22" fillId="12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horizontal="right" vertical="center" wrapText="1"/>
    </xf>
    <xf numFmtId="0" fontId="23" fillId="5" borderId="18" xfId="0" applyFont="1" applyFill="1" applyBorder="1" applyAlignment="1">
      <alignment horizontal="right" vertical="center" wrapText="1"/>
    </xf>
    <xf numFmtId="0" fontId="25" fillId="3" borderId="0" xfId="0" applyFont="1" applyFill="1" applyBorder="1" applyAlignment="1">
      <alignment vertical="center"/>
    </xf>
    <xf numFmtId="0" fontId="25" fillId="3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41" fontId="5" fillId="3" borderId="0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Border="1" applyAlignment="1">
      <alignment horizontal="right" vertical="center" wrapText="1"/>
    </xf>
    <xf numFmtId="0" fontId="5" fillId="3" borderId="22" xfId="0" applyFont="1" applyFill="1" applyBorder="1" applyAlignment="1">
      <alignment vertical="center" wrapText="1"/>
    </xf>
    <xf numFmtId="0" fontId="13" fillId="3" borderId="22" xfId="0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vertical="center" wrapText="1"/>
    </xf>
    <xf numFmtId="0" fontId="30" fillId="3" borderId="0" xfId="0" applyFont="1" applyFill="1"/>
    <xf numFmtId="0" fontId="5" fillId="3" borderId="0" xfId="0" applyFont="1" applyFill="1"/>
    <xf numFmtId="3" fontId="24" fillId="3" borderId="0" xfId="0" applyNumberFormat="1" applyFont="1" applyFill="1" applyAlignment="1">
      <alignment horizontal="right"/>
    </xf>
    <xf numFmtId="0" fontId="30" fillId="3" borderId="0" xfId="0" applyFont="1" applyFill="1" applyAlignment="1"/>
    <xf numFmtId="0" fontId="30" fillId="3" borderId="0" xfId="0" applyFont="1" applyFill="1" applyAlignment="1">
      <alignment horizontal="left"/>
    </xf>
    <xf numFmtId="3" fontId="19" fillId="3" borderId="0" xfId="0" applyNumberFormat="1" applyFont="1" applyFill="1" applyBorder="1" applyAlignment="1">
      <alignment horizontal="right"/>
    </xf>
    <xf numFmtId="3" fontId="24" fillId="3" borderId="0" xfId="0" applyNumberFormat="1" applyFont="1" applyFill="1" applyBorder="1" applyAlignment="1">
      <alignment horizontal="right"/>
    </xf>
    <xf numFmtId="168" fontId="11" fillId="3" borderId="0" xfId="0" applyNumberFormat="1" applyFont="1" applyFill="1" applyAlignment="1">
      <alignment vertical="center"/>
    </xf>
    <xf numFmtId="0" fontId="19" fillId="3" borderId="7" xfId="0" applyFont="1" applyFill="1" applyBorder="1" applyAlignment="1">
      <alignment vertical="center"/>
    </xf>
    <xf numFmtId="0" fontId="18" fillId="6" borderId="25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18" fillId="6" borderId="26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vertical="center" wrapText="1"/>
    </xf>
    <xf numFmtId="0" fontId="17" fillId="3" borderId="23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vertical="center"/>
    </xf>
    <xf numFmtId="0" fontId="11" fillId="3" borderId="22" xfId="0" applyFont="1" applyFill="1" applyBorder="1" applyAlignment="1">
      <alignment vertical="center"/>
    </xf>
    <xf numFmtId="0" fontId="19" fillId="7" borderId="9" xfId="0" applyFont="1" applyFill="1" applyBorder="1" applyAlignment="1">
      <alignment vertical="center" wrapText="1"/>
    </xf>
    <xf numFmtId="0" fontId="18" fillId="3" borderId="27" xfId="0" applyFont="1" applyFill="1" applyBorder="1" applyAlignment="1">
      <alignment vertical="center"/>
    </xf>
    <xf numFmtId="0" fontId="18" fillId="16" borderId="2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34" fillId="3" borderId="4" xfId="0" applyFont="1" applyFill="1" applyBorder="1" applyAlignment="1">
      <alignment vertical="center" wrapText="1"/>
    </xf>
    <xf numFmtId="0" fontId="34" fillId="3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vertical="center" wrapText="1"/>
    </xf>
    <xf numFmtId="0" fontId="34" fillId="3" borderId="6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wrapText="1"/>
    </xf>
    <xf numFmtId="0" fontId="33" fillId="12" borderId="5" xfId="0" applyFont="1" applyFill="1" applyBorder="1" applyAlignment="1">
      <alignment horizontal="right" vertical="center"/>
    </xf>
    <xf numFmtId="0" fontId="15" fillId="5" borderId="17" xfId="0" applyFont="1" applyFill="1" applyBorder="1" applyAlignment="1">
      <alignment horizontal="right" vertical="center" wrapText="1"/>
    </xf>
    <xf numFmtId="0" fontId="26" fillId="3" borderId="21" xfId="0" applyFont="1" applyFill="1" applyBorder="1" applyAlignment="1">
      <alignment vertical="center"/>
    </xf>
    <xf numFmtId="0" fontId="19" fillId="3" borderId="6" xfId="0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32" fillId="3" borderId="3" xfId="0" applyFont="1" applyFill="1" applyBorder="1" applyAlignment="1">
      <alignment horizontal="left" vertical="center" indent="3"/>
    </xf>
    <xf numFmtId="0" fontId="24" fillId="3" borderId="0" xfId="0" applyFont="1" applyFill="1"/>
    <xf numFmtId="0" fontId="24" fillId="0" borderId="0" xfId="0" applyFont="1"/>
    <xf numFmtId="0" fontId="22" fillId="6" borderId="25" xfId="0" applyFont="1" applyFill="1" applyBorder="1" applyAlignment="1">
      <alignment horizontal="right" vertical="center"/>
    </xf>
    <xf numFmtId="0" fontId="22" fillId="14" borderId="26" xfId="0" applyFont="1" applyFill="1" applyBorder="1" applyAlignment="1">
      <alignment horizontal="right" vertical="center"/>
    </xf>
    <xf numFmtId="0" fontId="22" fillId="14" borderId="26" xfId="0" applyFont="1" applyFill="1" applyBorder="1" applyAlignment="1">
      <alignment horizontal="right" vertical="center" wrapText="1"/>
    </xf>
    <xf numFmtId="0" fontId="35" fillId="3" borderId="0" xfId="0" applyFont="1" applyFill="1"/>
    <xf numFmtId="0" fontId="35" fillId="0" borderId="0" xfId="0" applyFont="1"/>
    <xf numFmtId="0" fontId="35" fillId="3" borderId="7" xfId="0" applyFont="1" applyFill="1" applyBorder="1"/>
    <xf numFmtId="0" fontId="35" fillId="15" borderId="8" xfId="0" applyFont="1" applyFill="1" applyBorder="1"/>
    <xf numFmtId="0" fontId="35" fillId="15" borderId="7" xfId="0" applyFont="1" applyFill="1" applyBorder="1"/>
    <xf numFmtId="0" fontId="35" fillId="3" borderId="6" xfId="0" applyFont="1" applyFill="1" applyBorder="1"/>
    <xf numFmtId="0" fontId="35" fillId="3" borderId="7" xfId="0" applyFont="1" applyFill="1" applyBorder="1" applyAlignment="1">
      <alignment horizontal="right"/>
    </xf>
    <xf numFmtId="166" fontId="35" fillId="3" borderId="0" xfId="0" applyNumberFormat="1" applyFont="1" applyFill="1" applyBorder="1" applyAlignment="1">
      <alignment horizontal="right" vertical="center"/>
    </xf>
    <xf numFmtId="0" fontId="35" fillId="3" borderId="3" xfId="0" applyFont="1" applyFill="1" applyBorder="1" applyAlignment="1">
      <alignment horizontal="left" vertical="center"/>
    </xf>
    <xf numFmtId="0" fontId="36" fillId="3" borderId="0" xfId="0" applyFont="1" applyFill="1"/>
    <xf numFmtId="0" fontId="22" fillId="3" borderId="0" xfId="0" applyFont="1" applyFill="1"/>
    <xf numFmtId="0" fontId="22" fillId="6" borderId="24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horizontal="left" vertical="center"/>
    </xf>
    <xf numFmtId="0" fontId="35" fillId="3" borderId="0" xfId="0" applyFont="1" applyFill="1" applyAlignment="1">
      <alignment horizontal="left" vertical="center"/>
    </xf>
    <xf numFmtId="0" fontId="35" fillId="3" borderId="0" xfId="0" applyFont="1" applyFill="1" applyBorder="1"/>
    <xf numFmtId="0" fontId="35" fillId="3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/>
    <xf numFmtId="165" fontId="19" fillId="7" borderId="4" xfId="0" applyNumberFormat="1" applyFont="1" applyFill="1" applyBorder="1" applyAlignment="1">
      <alignment vertical="center" wrapText="1"/>
    </xf>
    <xf numFmtId="0" fontId="11" fillId="3" borderId="22" xfId="0" applyFont="1" applyFill="1" applyBorder="1" applyAlignment="1">
      <alignment vertical="center" wrapText="1"/>
    </xf>
    <xf numFmtId="165" fontId="19" fillId="7" borderId="11" xfId="0" applyNumberFormat="1" applyFont="1" applyFill="1" applyBorder="1" applyAlignment="1">
      <alignment vertical="center" wrapText="1"/>
    </xf>
    <xf numFmtId="175" fontId="39" fillId="3" borderId="0" xfId="0" applyNumberFormat="1" applyFont="1" applyFill="1" applyAlignment="1">
      <alignment horizontal="right" vertical="center"/>
    </xf>
    <xf numFmtId="170" fontId="39" fillId="3" borderId="0" xfId="0" applyNumberFormat="1" applyFont="1" applyFill="1" applyAlignment="1">
      <alignment horizontal="right" vertical="center"/>
    </xf>
    <xf numFmtId="174" fontId="18" fillId="3" borderId="0" xfId="0" applyNumberFormat="1" applyFont="1" applyFill="1" applyBorder="1" applyAlignment="1">
      <alignment vertical="center"/>
    </xf>
    <xf numFmtId="174" fontId="18" fillId="10" borderId="10" xfId="0" applyNumberFormat="1" applyFont="1" applyFill="1" applyBorder="1" applyAlignment="1">
      <alignment horizontal="right" vertical="center"/>
    </xf>
    <xf numFmtId="171" fontId="18" fillId="10" borderId="18" xfId="0" applyNumberFormat="1" applyFont="1" applyFill="1" applyBorder="1" applyAlignment="1">
      <alignment horizontal="right" vertical="center"/>
    </xf>
    <xf numFmtId="167" fontId="19" fillId="7" borderId="17" xfId="3" applyNumberFormat="1" applyFont="1" applyFill="1" applyBorder="1" applyAlignment="1">
      <alignment vertical="center" wrapText="1"/>
    </xf>
    <xf numFmtId="167" fontId="19" fillId="11" borderId="18" xfId="3" applyNumberFormat="1" applyFont="1" applyFill="1" applyBorder="1" applyAlignment="1">
      <alignment vertical="center" wrapText="1"/>
    </xf>
    <xf numFmtId="0" fontId="18" fillId="3" borderId="0" xfId="0" applyFont="1" applyFill="1" applyBorder="1"/>
    <xf numFmtId="0" fontId="18" fillId="0" borderId="0" xfId="0" applyFont="1" applyFill="1" applyBorder="1"/>
    <xf numFmtId="0" fontId="13" fillId="3" borderId="3" xfId="0" applyFont="1" applyFill="1" applyBorder="1" applyAlignment="1">
      <alignment vertical="center"/>
    </xf>
    <xf numFmtId="174" fontId="18" fillId="10" borderId="0" xfId="0" applyNumberFormat="1" applyFont="1" applyFill="1" applyBorder="1" applyAlignment="1">
      <alignment horizontal="right" vertical="center"/>
    </xf>
    <xf numFmtId="174" fontId="18" fillId="3" borderId="3" xfId="0" applyNumberFormat="1" applyFont="1" applyFill="1" applyBorder="1" applyAlignment="1">
      <alignment vertical="center"/>
    </xf>
    <xf numFmtId="0" fontId="18" fillId="0" borderId="0" xfId="0" applyFont="1" applyBorder="1"/>
    <xf numFmtId="168" fontId="19" fillId="11" borderId="12" xfId="0" applyNumberFormat="1" applyFont="1" applyFill="1" applyBorder="1" applyAlignment="1">
      <alignment vertical="center" wrapText="1"/>
    </xf>
    <xf numFmtId="0" fontId="18" fillId="16" borderId="26" xfId="0" applyFont="1" applyFill="1" applyBorder="1" applyAlignment="1">
      <alignment horizontal="center" vertical="center" wrapText="1"/>
    </xf>
    <xf numFmtId="176" fontId="35" fillId="3" borderId="0" xfId="0" applyNumberFormat="1" applyFont="1" applyFill="1" applyBorder="1" applyAlignment="1">
      <alignment vertical="center"/>
    </xf>
    <xf numFmtId="176" fontId="35" fillId="15" borderId="10" xfId="0" applyNumberFormat="1" applyFont="1" applyFill="1" applyBorder="1" applyAlignment="1">
      <alignment vertical="center"/>
    </xf>
    <xf numFmtId="176" fontId="20" fillId="3" borderId="0" xfId="1" applyNumberFormat="1" applyFont="1" applyFill="1" applyBorder="1" applyAlignment="1">
      <alignment horizontal="right" vertical="center"/>
    </xf>
    <xf numFmtId="176" fontId="36" fillId="3" borderId="0" xfId="0" applyNumberFormat="1" applyFont="1" applyFill="1" applyBorder="1" applyAlignment="1">
      <alignment vertical="center"/>
    </xf>
    <xf numFmtId="176" fontId="36" fillId="15" borderId="10" xfId="0" applyNumberFormat="1" applyFont="1" applyFill="1" applyBorder="1" applyAlignment="1">
      <alignment vertical="center"/>
    </xf>
    <xf numFmtId="176" fontId="35" fillId="3" borderId="17" xfId="0" applyNumberFormat="1" applyFont="1" applyFill="1" applyBorder="1" applyAlignment="1">
      <alignment vertical="center"/>
    </xf>
    <xf numFmtId="176" fontId="35" fillId="15" borderId="18" xfId="0" applyNumberFormat="1" applyFont="1" applyFill="1" applyBorder="1" applyAlignment="1">
      <alignment vertical="center"/>
    </xf>
    <xf numFmtId="176" fontId="22" fillId="13" borderId="7" xfId="0" applyNumberFormat="1" applyFont="1" applyFill="1" applyBorder="1" applyAlignment="1">
      <alignment vertical="center"/>
    </xf>
    <xf numFmtId="176" fontId="22" fillId="13" borderId="8" xfId="0" applyNumberFormat="1" applyFont="1" applyFill="1" applyBorder="1" applyAlignment="1">
      <alignment vertical="center"/>
    </xf>
    <xf numFmtId="176" fontId="35" fillId="3" borderId="11" xfId="0" applyNumberFormat="1" applyFont="1" applyFill="1" applyBorder="1" applyAlignment="1">
      <alignment vertical="center"/>
    </xf>
    <xf numFmtId="176" fontId="35" fillId="15" borderId="12" xfId="0" applyNumberFormat="1" applyFont="1" applyFill="1" applyBorder="1" applyAlignment="1">
      <alignment vertical="center"/>
    </xf>
    <xf numFmtId="176" fontId="20" fillId="3" borderId="0" xfId="0" applyNumberFormat="1" applyFont="1" applyFill="1" applyBorder="1" applyAlignment="1">
      <alignment horizontal="right" vertical="center"/>
    </xf>
    <xf numFmtId="176" fontId="22" fillId="6" borderId="25" xfId="0" applyNumberFormat="1" applyFont="1" applyFill="1" applyBorder="1" applyAlignment="1">
      <alignment vertical="center"/>
    </xf>
    <xf numFmtId="176" fontId="22" fillId="14" borderId="26" xfId="0" applyNumberFormat="1" applyFont="1" applyFill="1" applyBorder="1" applyAlignment="1">
      <alignment vertical="center"/>
    </xf>
    <xf numFmtId="176" fontId="18" fillId="6" borderId="26" xfId="0" applyNumberFormat="1" applyFont="1" applyFill="1" applyBorder="1" applyAlignment="1">
      <alignment vertical="center"/>
    </xf>
    <xf numFmtId="176" fontId="35" fillId="3" borderId="7" xfId="0" applyNumberFormat="1" applyFont="1" applyFill="1" applyBorder="1" applyAlignment="1">
      <alignment horizontal="right"/>
    </xf>
    <xf numFmtId="176" fontId="35" fillId="15" borderId="8" xfId="0" applyNumberFormat="1" applyFont="1" applyFill="1" applyBorder="1"/>
    <xf numFmtId="176" fontId="35" fillId="3" borderId="7" xfId="0" applyNumberFormat="1" applyFont="1" applyFill="1" applyBorder="1"/>
    <xf numFmtId="176" fontId="35" fillId="15" borderId="7" xfId="0" applyNumberFormat="1" applyFont="1" applyFill="1" applyBorder="1"/>
    <xf numFmtId="176" fontId="20" fillId="15" borderId="10" xfId="0" applyNumberFormat="1" applyFont="1" applyFill="1" applyBorder="1" applyAlignment="1">
      <alignment horizontal="right" vertical="center"/>
    </xf>
    <xf numFmtId="176" fontId="35" fillId="3" borderId="0" xfId="0" applyNumberFormat="1" applyFont="1" applyFill="1" applyBorder="1" applyAlignment="1">
      <alignment horizontal="right" vertical="center"/>
    </xf>
    <xf numFmtId="176" fontId="11" fillId="15" borderId="10" xfId="0" applyNumberFormat="1" applyFont="1" applyFill="1" applyBorder="1" applyAlignment="1">
      <alignment vertical="center"/>
    </xf>
    <xf numFmtId="176" fontId="37" fillId="3" borderId="0" xfId="0" applyNumberFormat="1" applyFont="1" applyFill="1" applyBorder="1" applyAlignment="1">
      <alignment horizontal="right" vertical="center"/>
    </xf>
    <xf numFmtId="176" fontId="38" fillId="3" borderId="0" xfId="0" applyNumberFormat="1" applyFont="1" applyFill="1" applyBorder="1" applyAlignment="1">
      <alignment horizontal="right" vertical="center"/>
    </xf>
    <xf numFmtId="176" fontId="21" fillId="15" borderId="10" xfId="0" applyNumberFormat="1" applyFont="1" applyFill="1" applyBorder="1" applyAlignment="1">
      <alignment horizontal="right" vertical="center"/>
    </xf>
    <xf numFmtId="177" fontId="35" fillId="3" borderId="7" xfId="0" applyNumberFormat="1" applyFont="1" applyFill="1" applyBorder="1"/>
    <xf numFmtId="177" fontId="35" fillId="15" borderId="8" xfId="0" applyNumberFormat="1" applyFont="1" applyFill="1" applyBorder="1"/>
    <xf numFmtId="177" fontId="35" fillId="15" borderId="7" xfId="0" applyNumberFormat="1" applyFont="1" applyFill="1" applyBorder="1"/>
    <xf numFmtId="177" fontId="35" fillId="3" borderId="6" xfId="0" applyNumberFormat="1" applyFont="1" applyFill="1" applyBorder="1"/>
    <xf numFmtId="177" fontId="22" fillId="3" borderId="0" xfId="0" applyNumberFormat="1" applyFont="1" applyFill="1" applyBorder="1" applyAlignment="1">
      <alignment vertical="center"/>
    </xf>
    <xf numFmtId="177" fontId="22" fillId="15" borderId="0" xfId="0" applyNumberFormat="1" applyFont="1" applyFill="1" applyBorder="1" applyAlignment="1">
      <alignment vertical="center"/>
    </xf>
    <xf numFmtId="177" fontId="22" fillId="3" borderId="3" xfId="0" applyNumberFormat="1" applyFont="1" applyFill="1" applyBorder="1" applyAlignment="1">
      <alignment vertical="center"/>
    </xf>
    <xf numFmtId="176" fontId="18" fillId="3" borderId="7" xfId="0" applyNumberFormat="1" applyFont="1" applyFill="1" applyBorder="1" applyAlignment="1">
      <alignment vertical="center"/>
    </xf>
    <xf numFmtId="176" fontId="18" fillId="2" borderId="7" xfId="0" applyNumberFormat="1" applyFont="1" applyFill="1" applyBorder="1" applyAlignment="1">
      <alignment vertical="center"/>
    </xf>
    <xf numFmtId="176" fontId="18" fillId="3" borderId="6" xfId="0" applyNumberFormat="1" applyFont="1" applyFill="1" applyBorder="1" applyAlignment="1">
      <alignment vertical="center"/>
    </xf>
    <xf numFmtId="176" fontId="18" fillId="2" borderId="8" xfId="0" applyNumberFormat="1" applyFont="1" applyFill="1" applyBorder="1" applyAlignment="1">
      <alignment vertical="center"/>
    </xf>
    <xf numFmtId="176" fontId="11" fillId="3" borderId="0" xfId="0" applyNumberFormat="1" applyFont="1" applyFill="1" applyAlignment="1">
      <alignment vertical="center"/>
    </xf>
    <xf numFmtId="176" fontId="11" fillId="2" borderId="0" xfId="0" applyNumberFormat="1" applyFont="1" applyFill="1" applyAlignment="1">
      <alignment vertical="center"/>
    </xf>
    <xf numFmtId="176" fontId="11" fillId="3" borderId="3" xfId="0" applyNumberFormat="1" applyFont="1" applyFill="1" applyBorder="1" applyAlignment="1">
      <alignment vertical="center"/>
    </xf>
    <xf numFmtId="176" fontId="11" fillId="3" borderId="0" xfId="0" applyNumberFormat="1" applyFont="1" applyFill="1" applyBorder="1" applyAlignment="1">
      <alignment vertical="center"/>
    </xf>
    <xf numFmtId="176" fontId="11" fillId="2" borderId="10" xfId="0" applyNumberFormat="1" applyFont="1" applyFill="1" applyBorder="1" applyAlignment="1">
      <alignment vertical="center"/>
    </xf>
    <xf numFmtId="176" fontId="18" fillId="13" borderId="7" xfId="0" applyNumberFormat="1" applyFont="1" applyFill="1" applyBorder="1" applyAlignment="1">
      <alignment vertical="center"/>
    </xf>
    <xf numFmtId="176" fontId="18" fillId="8" borderId="7" xfId="0" applyNumberFormat="1" applyFont="1" applyFill="1" applyBorder="1" applyAlignment="1">
      <alignment vertical="center"/>
    </xf>
    <xf numFmtId="176" fontId="18" fillId="13" borderId="6" xfId="0" applyNumberFormat="1" applyFont="1" applyFill="1" applyBorder="1" applyAlignment="1">
      <alignment vertical="center"/>
    </xf>
    <xf numFmtId="176" fontId="18" fillId="8" borderId="8" xfId="0" applyNumberFormat="1" applyFont="1" applyFill="1" applyBorder="1" applyAlignment="1">
      <alignment vertical="center"/>
    </xf>
    <xf numFmtId="176" fontId="18" fillId="3" borderId="2" xfId="0" applyNumberFormat="1" applyFont="1" applyFill="1" applyBorder="1" applyAlignment="1">
      <alignment vertical="center"/>
    </xf>
    <xf numFmtId="176" fontId="18" fillId="2" borderId="2" xfId="0" applyNumberFormat="1" applyFont="1" applyFill="1" applyBorder="1" applyAlignment="1">
      <alignment vertical="center"/>
    </xf>
    <xf numFmtId="176" fontId="18" fillId="3" borderId="14" xfId="0" applyNumberFormat="1" applyFont="1" applyFill="1" applyBorder="1" applyAlignment="1">
      <alignment vertical="center"/>
    </xf>
    <xf numFmtId="176" fontId="18" fillId="2" borderId="15" xfId="0" applyNumberFormat="1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177" fontId="11" fillId="3" borderId="3" xfId="0" applyNumberFormat="1" applyFont="1" applyFill="1" applyBorder="1" applyAlignment="1">
      <alignment vertical="center"/>
    </xf>
    <xf numFmtId="177" fontId="11" fillId="3" borderId="0" xfId="0" applyNumberFormat="1" applyFont="1" applyFill="1" applyBorder="1" applyAlignment="1">
      <alignment vertical="center"/>
    </xf>
    <xf numFmtId="177" fontId="11" fillId="3" borderId="10" xfId="0" applyNumberFormat="1" applyFont="1" applyFill="1" applyBorder="1" applyAlignment="1">
      <alignment vertical="center"/>
    </xf>
    <xf numFmtId="177" fontId="11" fillId="3" borderId="0" xfId="0" applyNumberFormat="1" applyFont="1" applyFill="1" applyAlignment="1">
      <alignment vertical="center"/>
    </xf>
    <xf numFmtId="176" fontId="5" fillId="2" borderId="4" xfId="0" applyNumberFormat="1" applyFont="1" applyFill="1" applyBorder="1" applyAlignment="1">
      <alignment horizontal="right" vertical="center"/>
    </xf>
    <xf numFmtId="176" fontId="5" fillId="2" borderId="11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horizontal="right" vertical="center"/>
    </xf>
    <xf numFmtId="176" fontId="5" fillId="3" borderId="11" xfId="0" applyNumberFormat="1" applyFont="1" applyFill="1" applyBorder="1" applyAlignment="1">
      <alignment horizontal="right" vertical="center"/>
    </xf>
    <xf numFmtId="176" fontId="26" fillId="3" borderId="12" xfId="0" applyNumberFormat="1" applyFont="1" applyFill="1" applyBorder="1" applyAlignment="1">
      <alignment horizontal="right" vertical="center"/>
    </xf>
    <xf numFmtId="176" fontId="26" fillId="3" borderId="11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 wrapText="1"/>
    </xf>
    <xf numFmtId="176" fontId="5" fillId="2" borderId="0" xfId="0" applyNumberFormat="1" applyFont="1" applyFill="1" applyBorder="1" applyAlignment="1">
      <alignment horizontal="right" vertical="center" wrapText="1"/>
    </xf>
    <xf numFmtId="176" fontId="5" fillId="3" borderId="0" xfId="0" applyNumberFormat="1" applyFont="1" applyFill="1" applyBorder="1" applyAlignment="1">
      <alignment horizontal="right" vertical="center" wrapText="1"/>
    </xf>
    <xf numFmtId="176" fontId="26" fillId="3" borderId="10" xfId="0" applyNumberFormat="1" applyFont="1" applyFill="1" applyBorder="1" applyAlignment="1">
      <alignment horizontal="right" vertical="center" wrapText="1"/>
    </xf>
    <xf numFmtId="176" fontId="5" fillId="2" borderId="11" xfId="0" applyNumberFormat="1" applyFont="1" applyFill="1" applyBorder="1" applyAlignment="1">
      <alignment horizontal="right" vertical="center" wrapText="1"/>
    </xf>
    <xf numFmtId="176" fontId="5" fillId="3" borderId="11" xfId="0" applyNumberFormat="1" applyFont="1" applyFill="1" applyBorder="1" applyAlignment="1">
      <alignment horizontal="right" vertical="center" wrapText="1"/>
    </xf>
    <xf numFmtId="176" fontId="26" fillId="3" borderId="12" xfId="0" applyNumberFormat="1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26" fillId="3" borderId="10" xfId="0" applyNumberFormat="1" applyFont="1" applyFill="1" applyBorder="1" applyAlignment="1">
      <alignment horizontal="right" vertical="center"/>
    </xf>
    <xf numFmtId="176" fontId="26" fillId="3" borderId="0" xfId="0" applyNumberFormat="1" applyFont="1" applyFill="1" applyBorder="1" applyAlignment="1">
      <alignment horizontal="right" vertical="center"/>
    </xf>
    <xf numFmtId="176" fontId="13" fillId="2" borderId="3" xfId="0" applyNumberFormat="1" applyFont="1" applyFill="1" applyBorder="1" applyAlignment="1">
      <alignment horizontal="right" vertical="center" wrapText="1"/>
    </xf>
    <xf numFmtId="176" fontId="13" fillId="2" borderId="3" xfId="0" applyNumberFormat="1" applyFont="1" applyFill="1" applyBorder="1" applyAlignment="1">
      <alignment horizontal="right" vertical="center"/>
    </xf>
    <xf numFmtId="176" fontId="13" fillId="2" borderId="0" xfId="0" applyNumberFormat="1" applyFont="1" applyFill="1" applyBorder="1" applyAlignment="1">
      <alignment horizontal="right" vertical="center"/>
    </xf>
    <xf numFmtId="176" fontId="13" fillId="3" borderId="0" xfId="0" applyNumberFormat="1" applyFont="1" applyFill="1" applyBorder="1" applyAlignment="1">
      <alignment horizontal="right" vertical="center"/>
    </xf>
    <xf numFmtId="176" fontId="27" fillId="3" borderId="10" xfId="0" applyNumberFormat="1" applyFont="1" applyFill="1" applyBorder="1" applyAlignment="1">
      <alignment horizontal="right" vertical="center"/>
    </xf>
    <xf numFmtId="176" fontId="27" fillId="3" borderId="0" xfId="0" applyNumberFormat="1" applyFont="1" applyFill="1" applyBorder="1" applyAlignment="1">
      <alignment horizontal="right" vertical="center"/>
    </xf>
    <xf numFmtId="176" fontId="27" fillId="3" borderId="10" xfId="0" applyNumberFormat="1" applyFont="1" applyFill="1" applyBorder="1" applyAlignment="1">
      <alignment horizontal="right" vertical="center" wrapText="1"/>
    </xf>
    <xf numFmtId="176" fontId="13" fillId="2" borderId="0" xfId="0" applyNumberFormat="1" applyFont="1" applyFill="1" applyBorder="1" applyAlignment="1">
      <alignment horizontal="right" vertical="center" wrapText="1"/>
    </xf>
    <xf numFmtId="176" fontId="13" fillId="3" borderId="0" xfId="0" applyNumberFormat="1" applyFont="1" applyFill="1" applyBorder="1" applyAlignment="1">
      <alignment horizontal="right" vertical="center" wrapText="1"/>
    </xf>
    <xf numFmtId="176" fontId="13" fillId="2" borderId="13" xfId="0" applyNumberFormat="1" applyFont="1" applyFill="1" applyBorder="1" applyAlignment="1">
      <alignment horizontal="right" vertical="center"/>
    </xf>
    <xf numFmtId="176" fontId="13" fillId="2" borderId="1" xfId="0" applyNumberFormat="1" applyFont="1" applyFill="1" applyBorder="1" applyAlignment="1">
      <alignment horizontal="right" vertical="center"/>
    </xf>
    <xf numFmtId="176" fontId="13" fillId="3" borderId="1" xfId="0" applyNumberFormat="1" applyFont="1" applyFill="1" applyBorder="1" applyAlignment="1">
      <alignment horizontal="right" vertical="center"/>
    </xf>
    <xf numFmtId="176" fontId="5" fillId="2" borderId="24" xfId="0" applyNumberFormat="1" applyFont="1" applyFill="1" applyBorder="1" applyAlignment="1">
      <alignment horizontal="right" vertical="center"/>
    </xf>
    <xf numFmtId="176" fontId="5" fillId="3" borderId="25" xfId="0" applyNumberFormat="1" applyFont="1" applyFill="1" applyBorder="1" applyAlignment="1">
      <alignment horizontal="right" vertical="center"/>
    </xf>
    <xf numFmtId="176" fontId="26" fillId="3" borderId="26" xfId="0" applyNumberFormat="1" applyFont="1" applyFill="1" applyBorder="1" applyAlignment="1">
      <alignment horizontal="right" vertical="center"/>
    </xf>
    <xf numFmtId="176" fontId="5" fillId="2" borderId="25" xfId="0" applyNumberFormat="1" applyFont="1" applyFill="1" applyBorder="1" applyAlignment="1">
      <alignment horizontal="right" vertical="center"/>
    </xf>
    <xf numFmtId="176" fontId="26" fillId="3" borderId="25" xfId="0" applyNumberFormat="1" applyFont="1" applyFill="1" applyBorder="1" applyAlignment="1">
      <alignment horizontal="right" vertical="center"/>
    </xf>
    <xf numFmtId="176" fontId="5" fillId="2" borderId="25" xfId="0" applyNumberFormat="1" applyFont="1" applyFill="1" applyBorder="1" applyAlignment="1">
      <alignment horizontal="right" vertical="center" wrapText="1"/>
    </xf>
    <xf numFmtId="176" fontId="5" fillId="3" borderId="25" xfId="0" applyNumberFormat="1" applyFont="1" applyFill="1" applyBorder="1" applyAlignment="1">
      <alignment horizontal="right" vertical="center" wrapText="1"/>
    </xf>
    <xf numFmtId="176" fontId="5" fillId="3" borderId="2" xfId="0" applyNumberFormat="1" applyFont="1" applyFill="1" applyBorder="1" applyAlignment="1">
      <alignment horizontal="right" vertical="center" wrapText="1"/>
    </xf>
    <xf numFmtId="176" fontId="26" fillId="3" borderId="15" xfId="0" applyNumberFormat="1" applyFont="1" applyFill="1" applyBorder="1" applyAlignment="1">
      <alignment horizontal="right" vertical="center" wrapText="1"/>
    </xf>
    <xf numFmtId="176" fontId="26" fillId="3" borderId="26" xfId="0" applyNumberFormat="1" applyFont="1" applyFill="1" applyBorder="1" applyAlignment="1">
      <alignment horizontal="right" vertical="center" wrapText="1"/>
    </xf>
    <xf numFmtId="176" fontId="0" fillId="2" borderId="4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3" borderId="11" xfId="0" applyNumberFormat="1" applyFill="1" applyBorder="1" applyAlignment="1">
      <alignment vertical="center"/>
    </xf>
    <xf numFmtId="176" fontId="29" fillId="3" borderId="12" xfId="0" applyNumberFormat="1" applyFont="1" applyFill="1" applyBorder="1" applyAlignment="1">
      <alignment vertical="center"/>
    </xf>
    <xf numFmtId="176" fontId="29" fillId="3" borderId="11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28" fillId="2" borderId="0" xfId="0" applyNumberFormat="1" applyFont="1" applyFill="1" applyBorder="1" applyAlignment="1">
      <alignment vertical="center"/>
    </xf>
    <xf numFmtId="176" fontId="28" fillId="3" borderId="0" xfId="0" applyNumberFormat="1" applyFont="1" applyFill="1" applyBorder="1" applyAlignment="1">
      <alignment vertical="center"/>
    </xf>
    <xf numFmtId="176" fontId="5" fillId="2" borderId="5" xfId="0" applyNumberFormat="1" applyFont="1" applyFill="1" applyBorder="1" applyAlignment="1">
      <alignment vertical="center"/>
    </xf>
    <xf numFmtId="176" fontId="5" fillId="2" borderId="17" xfId="0" applyNumberFormat="1" applyFont="1" applyFill="1" applyBorder="1" applyAlignment="1">
      <alignment vertical="center"/>
    </xf>
    <xf numFmtId="176" fontId="5" fillId="3" borderId="17" xfId="0" applyNumberFormat="1" applyFont="1" applyFill="1" applyBorder="1" applyAlignment="1">
      <alignment vertical="center"/>
    </xf>
    <xf numFmtId="176" fontId="26" fillId="3" borderId="18" xfId="0" applyNumberFormat="1" applyFont="1" applyFill="1" applyBorder="1" applyAlignment="1">
      <alignment vertical="center"/>
    </xf>
    <xf numFmtId="176" fontId="26" fillId="3" borderId="18" xfId="0" applyNumberFormat="1" applyFont="1" applyFill="1" applyBorder="1" applyAlignment="1">
      <alignment horizontal="right" vertical="center"/>
    </xf>
    <xf numFmtId="176" fontId="26" fillId="3" borderId="18" xfId="0" applyNumberFormat="1" applyFont="1" applyFill="1" applyBorder="1" applyAlignment="1">
      <alignment horizontal="right" vertical="center" wrapText="1"/>
    </xf>
    <xf numFmtId="176" fontId="5" fillId="2" borderId="17" xfId="0" applyNumberFormat="1" applyFont="1" applyFill="1" applyBorder="1" applyAlignment="1">
      <alignment horizontal="right" vertical="center" wrapText="1"/>
    </xf>
    <xf numFmtId="176" fontId="5" fillId="3" borderId="17" xfId="0" applyNumberFormat="1" applyFont="1" applyFill="1" applyBorder="1" applyAlignment="1">
      <alignment horizontal="right" vertical="center" wrapText="1"/>
    </xf>
    <xf numFmtId="178" fontId="28" fillId="3" borderId="0" xfId="0" applyNumberFormat="1" applyFont="1" applyFill="1" applyBorder="1" applyAlignment="1">
      <alignment vertical="center"/>
    </xf>
    <xf numFmtId="178" fontId="28" fillId="2" borderId="0" xfId="0" applyNumberFormat="1" applyFont="1" applyFill="1" applyBorder="1" applyAlignment="1">
      <alignment vertical="center"/>
    </xf>
    <xf numFmtId="178" fontId="28" fillId="3" borderId="25" xfId="0" applyNumberFormat="1" applyFont="1" applyFill="1" applyBorder="1" applyAlignment="1">
      <alignment horizontal="right" vertical="center"/>
    </xf>
    <xf numFmtId="178" fontId="28" fillId="2" borderId="25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horizontal="right" vertical="center"/>
    </xf>
    <xf numFmtId="176" fontId="3" fillId="3" borderId="11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3" borderId="0" xfId="0" applyNumberFormat="1" applyFont="1" applyFill="1" applyBorder="1" applyAlignment="1">
      <alignment horizontal="right" vertical="center"/>
    </xf>
    <xf numFmtId="176" fontId="3" fillId="2" borderId="24" xfId="0" applyNumberFormat="1" applyFont="1" applyFill="1" applyBorder="1" applyAlignment="1">
      <alignment horizontal="right" vertical="center"/>
    </xf>
    <xf numFmtId="176" fontId="3" fillId="3" borderId="25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 wrapText="1"/>
    </xf>
    <xf numFmtId="171" fontId="11" fillId="3" borderId="11" xfId="0" applyNumberFormat="1" applyFont="1" applyFill="1" applyBorder="1" applyAlignment="1">
      <alignment horizontal="right" vertical="center"/>
    </xf>
    <xf numFmtId="176" fontId="35" fillId="15" borderId="10" xfId="0" applyNumberFormat="1" applyFont="1" applyFill="1" applyBorder="1" applyAlignment="1">
      <alignment horizontal="right" vertical="center"/>
    </xf>
    <xf numFmtId="176" fontId="35" fillId="15" borderId="0" xfId="0" applyNumberFormat="1" applyFont="1" applyFill="1" applyBorder="1" applyAlignment="1">
      <alignment horizontal="right" vertical="center"/>
    </xf>
    <xf numFmtId="176" fontId="35" fillId="3" borderId="3" xfId="0" applyNumberFormat="1" applyFont="1" applyFill="1" applyBorder="1" applyAlignment="1">
      <alignment horizontal="right" vertical="center"/>
    </xf>
    <xf numFmtId="176" fontId="35" fillId="15" borderId="0" xfId="0" applyNumberFormat="1" applyFont="1" applyFill="1" applyBorder="1" applyAlignment="1">
      <alignment vertical="center"/>
    </xf>
    <xf numFmtId="176" fontId="20" fillId="3" borderId="3" xfId="1" applyNumberFormat="1" applyFont="1" applyFill="1" applyBorder="1" applyAlignment="1">
      <alignment horizontal="right" vertical="center"/>
    </xf>
    <xf numFmtId="176" fontId="36" fillId="15" borderId="0" xfId="0" applyNumberFormat="1" applyFont="1" applyFill="1" applyBorder="1" applyAlignment="1">
      <alignment vertical="center"/>
    </xf>
    <xf numFmtId="176" fontId="36" fillId="3" borderId="3" xfId="0" applyNumberFormat="1" applyFont="1" applyFill="1" applyBorder="1" applyAlignment="1">
      <alignment vertical="center"/>
    </xf>
    <xf numFmtId="176" fontId="22" fillId="13" borderId="6" xfId="0" applyNumberFormat="1" applyFont="1" applyFill="1" applyBorder="1" applyAlignment="1">
      <alignment vertical="center"/>
    </xf>
    <xf numFmtId="176" fontId="20" fillId="15" borderId="10" xfId="1" applyNumberFormat="1" applyFont="1" applyFill="1" applyBorder="1" applyAlignment="1">
      <alignment horizontal="right" vertical="center"/>
    </xf>
    <xf numFmtId="176" fontId="20" fillId="15" borderId="0" xfId="1" applyNumberFormat="1" applyFont="1" applyFill="1" applyBorder="1" applyAlignment="1">
      <alignment horizontal="right" vertical="center"/>
    </xf>
    <xf numFmtId="176" fontId="22" fillId="14" borderId="25" xfId="0" applyNumberFormat="1" applyFont="1" applyFill="1" applyBorder="1" applyAlignment="1">
      <alignment vertical="center"/>
    </xf>
    <xf numFmtId="176" fontId="22" fillId="6" borderId="24" xfId="0" applyNumberFormat="1" applyFont="1" applyFill="1" applyBorder="1" applyAlignment="1">
      <alignment vertical="center"/>
    </xf>
    <xf numFmtId="176" fontId="35" fillId="3" borderId="11" xfId="0" applyNumberFormat="1" applyFont="1" applyFill="1" applyBorder="1" applyAlignment="1">
      <alignment horizontal="right" vertical="center"/>
    </xf>
    <xf numFmtId="176" fontId="35" fillId="15" borderId="12" xfId="0" applyNumberFormat="1" applyFont="1" applyFill="1" applyBorder="1" applyAlignment="1">
      <alignment horizontal="right" vertical="center"/>
    </xf>
    <xf numFmtId="176" fontId="35" fillId="15" borderId="11" xfId="0" applyNumberFormat="1" applyFont="1" applyFill="1" applyBorder="1" applyAlignment="1">
      <alignment horizontal="right" vertical="center"/>
    </xf>
    <xf numFmtId="176" fontId="35" fillId="3" borderId="4" xfId="0" applyNumberFormat="1" applyFont="1" applyFill="1" applyBorder="1" applyAlignment="1">
      <alignment horizontal="right" vertical="center"/>
    </xf>
    <xf numFmtId="176" fontId="20" fillId="15" borderId="0" xfId="0" applyNumberFormat="1" applyFont="1" applyFill="1" applyBorder="1" applyAlignment="1">
      <alignment horizontal="right" vertical="center"/>
    </xf>
    <xf numFmtId="176" fontId="20" fillId="3" borderId="3" xfId="0" applyNumberFormat="1" applyFont="1" applyFill="1" applyBorder="1" applyAlignment="1">
      <alignment horizontal="right" vertical="center"/>
    </xf>
    <xf numFmtId="176" fontId="35" fillId="3" borderId="3" xfId="0" applyNumberFormat="1" applyFont="1" applyFill="1" applyBorder="1" applyAlignment="1">
      <alignment vertical="center"/>
    </xf>
    <xf numFmtId="176" fontId="18" fillId="3" borderId="8" xfId="0" applyNumberFormat="1" applyFont="1" applyFill="1" applyBorder="1" applyAlignment="1">
      <alignment vertical="center"/>
    </xf>
    <xf numFmtId="176" fontId="18" fillId="3" borderId="6" xfId="0" applyNumberFormat="1" applyFont="1" applyFill="1" applyBorder="1" applyAlignment="1">
      <alignment horizontal="right" vertical="center"/>
    </xf>
    <xf numFmtId="176" fontId="18" fillId="3" borderId="7" xfId="0" applyNumberFormat="1" applyFont="1" applyFill="1" applyBorder="1" applyAlignment="1">
      <alignment horizontal="right" vertical="center"/>
    </xf>
    <xf numFmtId="176" fontId="11" fillId="3" borderId="10" xfId="0" applyNumberFormat="1" applyFont="1" applyFill="1" applyBorder="1" applyAlignment="1">
      <alignment vertical="center"/>
    </xf>
    <xf numFmtId="176" fontId="18" fillId="13" borderId="8" xfId="0" applyNumberFormat="1" applyFont="1" applyFill="1" applyBorder="1" applyAlignment="1">
      <alignment vertical="center"/>
    </xf>
    <xf numFmtId="176" fontId="11" fillId="3" borderId="5" xfId="0" applyNumberFormat="1" applyFont="1" applyFill="1" applyBorder="1" applyAlignment="1">
      <alignment vertical="center"/>
    </xf>
    <xf numFmtId="176" fontId="11" fillId="3" borderId="17" xfId="0" applyNumberFormat="1" applyFont="1" applyFill="1" applyBorder="1" applyAlignment="1">
      <alignment vertical="center"/>
    </xf>
    <xf numFmtId="176" fontId="18" fillId="3" borderId="15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0" xfId="0" applyNumberFormat="1" applyFont="1" applyFill="1" applyBorder="1" applyAlignment="1">
      <alignment horizontal="right" vertical="center" wrapText="1"/>
    </xf>
    <xf numFmtId="176" fontId="2" fillId="3" borderId="0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3" borderId="0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 wrapText="1"/>
    </xf>
    <xf numFmtId="176" fontId="2" fillId="2" borderId="25" xfId="0" applyNumberFormat="1" applyFont="1" applyFill="1" applyBorder="1" applyAlignment="1">
      <alignment horizontal="right" vertical="center" wrapText="1"/>
    </xf>
    <xf numFmtId="176" fontId="2" fillId="3" borderId="25" xfId="0" applyNumberFormat="1" applyFont="1" applyFill="1" applyBorder="1" applyAlignment="1">
      <alignment horizontal="right" vertical="center" wrapText="1"/>
    </xf>
    <xf numFmtId="176" fontId="2" fillId="2" borderId="5" xfId="0" applyNumberFormat="1" applyFont="1" applyFill="1" applyBorder="1" applyAlignment="1">
      <alignment horizontal="right" vertical="center" wrapText="1"/>
    </xf>
    <xf numFmtId="176" fontId="2" fillId="2" borderId="17" xfId="0" applyNumberFormat="1" applyFont="1" applyFill="1" applyBorder="1" applyAlignment="1">
      <alignment vertical="center"/>
    </xf>
    <xf numFmtId="176" fontId="2" fillId="3" borderId="17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176" fontId="21" fillId="3" borderId="3" xfId="0" applyNumberFormat="1" applyFont="1" applyFill="1" applyBorder="1" applyAlignment="1">
      <alignment horizontal="right" vertical="center"/>
    </xf>
    <xf numFmtId="176" fontId="21" fillId="3" borderId="0" xfId="0" applyNumberFormat="1" applyFont="1" applyFill="1" applyBorder="1" applyAlignment="1">
      <alignment horizontal="right" vertical="center"/>
    </xf>
    <xf numFmtId="176" fontId="11" fillId="3" borderId="0" xfId="0" applyNumberFormat="1" applyFont="1" applyFill="1" applyBorder="1" applyAlignment="1">
      <alignment horizontal="right" vertical="center"/>
    </xf>
    <xf numFmtId="178" fontId="28" fillId="3" borderId="17" xfId="0" applyNumberFormat="1" applyFont="1" applyFill="1" applyBorder="1" applyAlignment="1">
      <alignment vertical="center"/>
    </xf>
    <xf numFmtId="176" fontId="21" fillId="2" borderId="10" xfId="0" applyNumberFormat="1" applyFont="1" applyFill="1" applyBorder="1" applyAlignment="1">
      <alignment horizontal="right" vertical="center"/>
    </xf>
    <xf numFmtId="171" fontId="18" fillId="13" borderId="7" xfId="0" applyNumberFormat="1" applyFont="1" applyFill="1" applyBorder="1" applyAlignment="1">
      <alignment vertical="center"/>
    </xf>
    <xf numFmtId="171" fontId="18" fillId="8" borderId="7" xfId="0" applyNumberFormat="1" applyFont="1" applyFill="1" applyBorder="1" applyAlignment="1">
      <alignment horizontal="right" vertical="center"/>
    </xf>
    <xf numFmtId="171" fontId="18" fillId="13" borderId="6" xfId="0" applyNumberFormat="1" applyFont="1" applyFill="1" applyBorder="1" applyAlignment="1">
      <alignment vertical="center"/>
    </xf>
    <xf numFmtId="171" fontId="18" fillId="8" borderId="8" xfId="0" applyNumberFormat="1" applyFont="1" applyFill="1" applyBorder="1" applyAlignment="1">
      <alignment horizontal="right" vertical="center"/>
    </xf>
    <xf numFmtId="176" fontId="41" fillId="15" borderId="10" xfId="0" applyNumberFormat="1" applyFont="1" applyFill="1" applyBorder="1" applyAlignment="1">
      <alignment vertical="center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left" vertical="center" wrapText="1"/>
    </xf>
    <xf numFmtId="0" fontId="15" fillId="3" borderId="22" xfId="0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horizontal="left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left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7" fillId="0" borderId="0" xfId="0" applyFont="1"/>
    <xf numFmtId="0" fontId="7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49" fontId="42" fillId="0" borderId="0" xfId="0" applyNumberFormat="1" applyFont="1"/>
    <xf numFmtId="0" fontId="42" fillId="0" borderId="0" xfId="0" applyFont="1"/>
    <xf numFmtId="0" fontId="44" fillId="3" borderId="0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 wrapText="1"/>
    </xf>
    <xf numFmtId="0" fontId="18" fillId="17" borderId="7" xfId="0" applyFont="1" applyFill="1" applyBorder="1" applyAlignment="1">
      <alignment horizontal="center" vertical="center"/>
    </xf>
    <xf numFmtId="0" fontId="18" fillId="17" borderId="31" xfId="0" applyFont="1" applyFill="1" applyBorder="1" applyAlignment="1">
      <alignment horizontal="center" vertical="center"/>
    </xf>
    <xf numFmtId="0" fontId="18" fillId="17" borderId="32" xfId="0" applyFont="1" applyFill="1" applyBorder="1" applyAlignment="1">
      <alignment horizontal="center" vertical="center"/>
    </xf>
    <xf numFmtId="0" fontId="18" fillId="18" borderId="31" xfId="0" applyFont="1" applyFill="1" applyBorder="1" applyAlignment="1">
      <alignment horizontal="center" vertical="center"/>
    </xf>
    <xf numFmtId="0" fontId="18" fillId="18" borderId="7" xfId="0" applyFont="1" applyFill="1" applyBorder="1" applyAlignment="1">
      <alignment horizontal="center" vertical="center"/>
    </xf>
    <xf numFmtId="0" fontId="18" fillId="18" borderId="3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7" fontId="11" fillId="2" borderId="0" xfId="3" applyNumberFormat="1" applyFont="1" applyFill="1" applyBorder="1" applyAlignment="1">
      <alignment horizontal="center" vertical="center"/>
    </xf>
    <xf numFmtId="167" fontId="11" fillId="2" borderId="28" xfId="3" applyNumberFormat="1" applyFont="1" applyFill="1" applyBorder="1" applyAlignment="1">
      <alignment horizontal="center" vertical="center"/>
    </xf>
    <xf numFmtId="167" fontId="11" fillId="2" borderId="29" xfId="3" applyNumberFormat="1" applyFont="1" applyFill="1" applyBorder="1" applyAlignment="1">
      <alignment horizontal="center" vertical="center"/>
    </xf>
    <xf numFmtId="167" fontId="11" fillId="0" borderId="28" xfId="3" applyNumberFormat="1" applyFont="1" applyFill="1" applyBorder="1" applyAlignment="1">
      <alignment horizontal="center" vertical="center"/>
    </xf>
    <xf numFmtId="167" fontId="11" fillId="0" borderId="0" xfId="3" applyNumberFormat="1" applyFont="1" applyFill="1" applyBorder="1" applyAlignment="1">
      <alignment horizontal="center" vertical="center"/>
    </xf>
    <xf numFmtId="167" fontId="11" fillId="0" borderId="30" xfId="3" applyNumberFormat="1" applyFont="1" applyFill="1" applyBorder="1" applyAlignment="1">
      <alignment horizontal="center" vertical="center"/>
    </xf>
    <xf numFmtId="165" fontId="11" fillId="2" borderId="0" xfId="3" applyNumberFormat="1" applyFont="1" applyFill="1" applyBorder="1" applyAlignment="1">
      <alignment horizontal="center" vertical="center"/>
    </xf>
    <xf numFmtId="165" fontId="11" fillId="2" borderId="28" xfId="3" applyNumberFormat="1" applyFont="1" applyFill="1" applyBorder="1" applyAlignment="1">
      <alignment horizontal="center" vertical="center"/>
    </xf>
    <xf numFmtId="165" fontId="11" fillId="2" borderId="29" xfId="3" applyNumberFormat="1" applyFont="1" applyFill="1" applyBorder="1" applyAlignment="1">
      <alignment horizontal="center" vertical="center"/>
    </xf>
    <xf numFmtId="165" fontId="11" fillId="0" borderId="28" xfId="3" applyNumberFormat="1" applyFont="1" applyFill="1" applyBorder="1" applyAlignment="1">
      <alignment horizontal="center" vertical="center"/>
    </xf>
    <xf numFmtId="165" fontId="11" fillId="0" borderId="0" xfId="3" applyNumberFormat="1" applyFont="1" applyFill="1" applyBorder="1" applyAlignment="1">
      <alignment horizontal="center" vertical="center"/>
    </xf>
    <xf numFmtId="165" fontId="11" fillId="0" borderId="30" xfId="3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167" fontId="11" fillId="2" borderId="17" xfId="3" applyNumberFormat="1" applyFont="1" applyFill="1" applyBorder="1" applyAlignment="1">
      <alignment horizontal="center" vertical="center"/>
    </xf>
    <xf numFmtId="167" fontId="11" fillId="2" borderId="35" xfId="3" applyNumberFormat="1" applyFont="1" applyFill="1" applyBorder="1" applyAlignment="1">
      <alignment horizontal="center" vertical="center"/>
    </xf>
    <xf numFmtId="167" fontId="11" fillId="2" borderId="34" xfId="3" applyNumberFormat="1" applyFont="1" applyFill="1" applyBorder="1" applyAlignment="1">
      <alignment horizontal="center" vertical="center"/>
    </xf>
    <xf numFmtId="167" fontId="11" fillId="0" borderId="35" xfId="3" applyNumberFormat="1" applyFont="1" applyFill="1" applyBorder="1" applyAlignment="1">
      <alignment horizontal="center" vertical="center"/>
    </xf>
    <xf numFmtId="167" fontId="11" fillId="0" borderId="17" xfId="3" applyNumberFormat="1" applyFont="1" applyFill="1" applyBorder="1" applyAlignment="1">
      <alignment horizontal="center" vertical="center"/>
    </xf>
    <xf numFmtId="167" fontId="11" fillId="0" borderId="36" xfId="3" applyNumberFormat="1" applyFont="1" applyFill="1" applyBorder="1" applyAlignment="1">
      <alignment horizontal="center" vertical="center"/>
    </xf>
  </cellXfs>
  <cellStyles count="8">
    <cellStyle name="Dziesiętny" xfId="1" builtinId="3"/>
    <cellStyle name="Normalny" xfId="0" builtinId="0"/>
    <cellStyle name="Normalny 2" xfId="4"/>
    <cellStyle name="Normalny 2 2 3" xfId="5"/>
    <cellStyle name="Normalny 66" xfId="6"/>
    <cellStyle name="Procentowy" xfId="2" builtinId="5"/>
    <cellStyle name="Procentowy 2" xfId="3"/>
    <cellStyle name="Procentowy 3" xfId="7"/>
  </cellStyles>
  <dxfs count="0"/>
  <tableStyles count="0" defaultTableStyle="TableStyleMedium9" defaultPivotStyle="PivotStyleLight16"/>
  <colors>
    <mruColors>
      <color rgb="FFF7A8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wiktorow/Documents/Dane%20finansowe/Pliki%20na%20now&#261;%20stron&#281;/Dane%20finansowe(ml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 zysków i strat-nowy układ"/>
      <sheetName val="Bilans"/>
      <sheetName val="Rachunek przepływów pieniężnych"/>
      <sheetName val="wskaźniki"/>
      <sheetName val="Rach. zysków i strat-do 1Q2014"/>
      <sheetName val="Rachunek zysków i strat-do 2010"/>
    </sheetNames>
    <sheetDataSet>
      <sheetData sheetId="0">
        <row r="4">
          <cell r="N4">
            <v>1745.9</v>
          </cell>
          <cell r="O4">
            <v>2419.6</v>
          </cell>
          <cell r="P4">
            <v>2521.1000000000004</v>
          </cell>
          <cell r="Q4">
            <v>7409.9</v>
          </cell>
          <cell r="R4">
            <v>2329</v>
          </cell>
          <cell r="S4">
            <v>2469.1999999999998</v>
          </cell>
          <cell r="T4">
            <v>2414.8999999999996</v>
          </cell>
          <cell r="U4">
            <v>2609.9</v>
          </cell>
          <cell r="V4">
            <v>9823</v>
          </cell>
          <cell r="W4">
            <v>2364</v>
          </cell>
          <cell r="X4">
            <v>2442.9</v>
          </cell>
          <cell r="Y4">
            <v>2387.8000000000002</v>
          </cell>
          <cell r="Z4">
            <v>2535.1</v>
          </cell>
          <cell r="AA4">
            <v>9729.7999999999993</v>
          </cell>
        </row>
        <row r="25">
          <cell r="N25">
            <v>132.09999999999991</v>
          </cell>
          <cell r="O25">
            <v>48.199999999999683</v>
          </cell>
          <cell r="P25">
            <v>14.000000000000773</v>
          </cell>
          <cell r="Q25">
            <v>292.49999999999926</v>
          </cell>
          <cell r="R25">
            <v>170.79999999999995</v>
          </cell>
          <cell r="S25">
            <v>304.5</v>
          </cell>
          <cell r="T25">
            <v>502.4999999999996</v>
          </cell>
          <cell r="U25">
            <v>185.60000000000036</v>
          </cell>
          <cell r="V25">
            <v>1163.3999999999994</v>
          </cell>
          <cell r="W25">
            <v>178.50000000000006</v>
          </cell>
          <cell r="X25">
            <v>230.90000000000015</v>
          </cell>
          <cell r="Y25">
            <v>269.80000000000041</v>
          </cell>
          <cell r="Z25">
            <v>341.79999999999995</v>
          </cell>
          <cell r="AA25">
            <v>1021.0000000000001</v>
          </cell>
        </row>
        <row r="31">
          <cell r="N31">
            <v>0.40603700097370976</v>
          </cell>
          <cell r="O31">
            <v>0.37613655149611497</v>
          </cell>
          <cell r="P31">
            <v>0.33211693308476481</v>
          </cell>
          <cell r="Q31">
            <v>0.36954614772129168</v>
          </cell>
          <cell r="R31">
            <v>0.38497209102619145</v>
          </cell>
          <cell r="S31">
            <v>0.39567471245747615</v>
          </cell>
          <cell r="T31">
            <v>0.3852747525777464</v>
          </cell>
          <cell r="U31">
            <v>0.33759914172956829</v>
          </cell>
          <cell r="V31">
            <v>0.37515015779293487</v>
          </cell>
          <cell r="W31">
            <v>0.35807952622673433</v>
          </cell>
          <cell r="X31">
            <v>0.3827418232428671</v>
          </cell>
          <cell r="Y31">
            <v>0.4007873356227491</v>
          </cell>
          <cell r="Z31">
            <v>0.35592284328034396</v>
          </cell>
          <cell r="AA31">
            <v>0.37419063084544396</v>
          </cell>
        </row>
      </sheetData>
      <sheetData sheetId="1">
        <row r="32">
          <cell r="AA32">
            <v>4435.3</v>
          </cell>
          <cell r="AB32">
            <v>3899.7999999999997</v>
          </cell>
          <cell r="AC32">
            <v>3982.6</v>
          </cell>
          <cell r="AD32">
            <v>3956.9</v>
          </cell>
          <cell r="AE32">
            <v>4274.2</v>
          </cell>
          <cell r="AF32">
            <v>3747.2000000000003</v>
          </cell>
          <cell r="AG32">
            <v>4228.8999999999987</v>
          </cell>
          <cell r="AH32">
            <v>3866.0000000000005</v>
          </cell>
          <cell r="AI32">
            <v>3203.3</v>
          </cell>
          <cell r="AJ32">
            <v>3445.5000000000005</v>
          </cell>
          <cell r="AK32">
            <v>3770.3999999999992</v>
          </cell>
        </row>
        <row r="33">
          <cell r="AA33">
            <v>27827.1</v>
          </cell>
          <cell r="AB33">
            <v>27481.199999999997</v>
          </cell>
          <cell r="AC33">
            <v>27338.699999999997</v>
          </cell>
          <cell r="AD33">
            <v>27088.9</v>
          </cell>
          <cell r="AE33">
            <v>27141.8</v>
          </cell>
          <cell r="AF33">
            <v>26143.5</v>
          </cell>
          <cell r="AG33">
            <v>26490.099999999995</v>
          </cell>
          <cell r="AH33">
            <v>28355.499999999996</v>
          </cell>
          <cell r="AI33">
            <v>27581.1</v>
          </cell>
          <cell r="AJ33">
            <v>27493.100000000002</v>
          </cell>
          <cell r="AK33">
            <v>27729.299999999996</v>
          </cell>
        </row>
        <row r="45">
          <cell r="AA45">
            <v>9091.7000000000007</v>
          </cell>
          <cell r="AB45">
            <v>9130.7000000000007</v>
          </cell>
          <cell r="AC45">
            <v>9078.2000000000007</v>
          </cell>
          <cell r="AD45">
            <v>9311.9</v>
          </cell>
          <cell r="AE45">
            <v>9557.8000000000011</v>
          </cell>
          <cell r="AF45">
            <v>10060</v>
          </cell>
          <cell r="AG45">
            <v>10250.1</v>
          </cell>
          <cell r="AH45">
            <v>10405.200000000001</v>
          </cell>
          <cell r="AI45">
            <v>10761.6</v>
          </cell>
          <cell r="AJ45">
            <v>11033.5</v>
          </cell>
          <cell r="AK45">
            <v>11377.6</v>
          </cell>
        </row>
        <row r="65">
          <cell r="AA65">
            <v>3990.3999999999992</v>
          </cell>
          <cell r="AB65">
            <v>4126.7</v>
          </cell>
          <cell r="AC65">
            <v>4167.2289934271712</v>
          </cell>
          <cell r="AD65">
            <v>4149.8</v>
          </cell>
          <cell r="AE65">
            <v>4244.8</v>
          </cell>
          <cell r="AF65">
            <v>7899.8</v>
          </cell>
          <cell r="AG65">
            <v>8466.5000000000018</v>
          </cell>
          <cell r="AH65">
            <v>4162.5999999999995</v>
          </cell>
          <cell r="AI65">
            <v>3503.3999999999996</v>
          </cell>
          <cell r="AJ65">
            <v>3454.8111532557077</v>
          </cell>
          <cell r="AK65">
            <v>3681.2000000000003</v>
          </cell>
        </row>
        <row r="66">
          <cell r="AA66">
            <v>18735.399999999998</v>
          </cell>
          <cell r="AB66">
            <v>18350.5</v>
          </cell>
          <cell r="AC66">
            <v>18260.528993427175</v>
          </cell>
          <cell r="AD66">
            <v>17777</v>
          </cell>
          <cell r="AE66">
            <v>17584</v>
          </cell>
          <cell r="AF66">
            <v>16083.5</v>
          </cell>
          <cell r="AG66">
            <v>16240.000000000002</v>
          </cell>
          <cell r="AH66">
            <v>17950.3</v>
          </cell>
          <cell r="AI66">
            <v>16819.5</v>
          </cell>
          <cell r="AJ66">
            <v>16459.611153255708</v>
          </cell>
          <cell r="AK66">
            <v>16351.700000000003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Y49"/>
  <sheetViews>
    <sheetView showGridLines="0" topLeftCell="A13" zoomScale="85" zoomScaleNormal="85" zoomScaleSheetLayoutView="85" workbookViewId="0">
      <pane xSplit="1" topLeftCell="K1" activePane="topRight" state="frozen"/>
      <selection pane="topRight" activeCell="A27" sqref="A27"/>
    </sheetView>
  </sheetViews>
  <sheetFormatPr defaultRowHeight="28.5" customHeight="1"/>
  <cols>
    <col min="1" max="1" width="60.625" style="8" customWidth="1"/>
    <col min="2" max="7" width="9" style="4"/>
    <col min="8" max="8" width="9" style="5"/>
    <col min="9" max="9" width="9" style="6"/>
    <col min="10" max="11" width="10.125" style="4" bestFit="1" customWidth="1"/>
    <col min="12" max="12" width="10.125" style="4" customWidth="1"/>
    <col min="13" max="15" width="9.25" style="4" customWidth="1"/>
    <col min="16" max="16" width="10.125" style="4" bestFit="1" customWidth="1"/>
    <col min="17" max="20" width="10.125" style="4" customWidth="1"/>
    <col min="21" max="21" width="10.125" style="4" bestFit="1" customWidth="1"/>
    <col min="22" max="25" width="10.125" style="4" customWidth="1"/>
    <col min="26" max="26" width="10.125" style="4" bestFit="1" customWidth="1"/>
    <col min="27" max="28" width="9" style="18"/>
    <col min="29" max="16384" width="9" style="8"/>
  </cols>
  <sheetData>
    <row r="1" spans="1:493" customFormat="1" ht="50.25" customHeight="1" thickBot="1">
      <c r="A1" s="1" t="s">
        <v>6</v>
      </c>
      <c r="B1" s="1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  <c r="IW1" s="53"/>
      <c r="IX1" s="53"/>
      <c r="IY1" s="53"/>
      <c r="IZ1" s="53"/>
      <c r="JA1" s="53"/>
      <c r="JB1" s="53"/>
      <c r="JC1" s="53"/>
      <c r="JD1" s="53"/>
      <c r="JE1" s="53"/>
      <c r="JF1" s="53"/>
      <c r="JG1" s="53"/>
      <c r="JH1" s="53"/>
      <c r="JI1" s="53"/>
      <c r="JJ1" s="53"/>
      <c r="JK1" s="53"/>
      <c r="JL1" s="53"/>
      <c r="JM1" s="53"/>
      <c r="JN1" s="53"/>
      <c r="JO1" s="53"/>
      <c r="JP1" s="53"/>
      <c r="JQ1" s="53"/>
      <c r="JR1" s="53"/>
      <c r="JS1" s="53"/>
      <c r="JT1" s="53"/>
      <c r="JU1" s="53"/>
      <c r="JV1" s="53"/>
      <c r="JW1" s="53"/>
      <c r="JX1" s="53"/>
      <c r="JY1" s="53"/>
      <c r="JZ1" s="53"/>
      <c r="KA1" s="53"/>
      <c r="KB1" s="53"/>
      <c r="KC1" s="53"/>
      <c r="KD1" s="53"/>
      <c r="KE1" s="53"/>
      <c r="KF1" s="53"/>
      <c r="KG1" s="53"/>
      <c r="KH1" s="53"/>
      <c r="KI1" s="53"/>
      <c r="KJ1" s="53"/>
      <c r="KK1" s="53"/>
      <c r="KL1" s="53"/>
      <c r="KM1" s="53"/>
      <c r="KN1" s="53"/>
      <c r="KO1" s="53"/>
      <c r="KP1" s="53"/>
      <c r="KQ1" s="53"/>
      <c r="KR1" s="53"/>
      <c r="KS1" s="53"/>
      <c r="KT1" s="53"/>
      <c r="KU1" s="53"/>
      <c r="KV1" s="53"/>
      <c r="KW1" s="53"/>
      <c r="KX1" s="53"/>
      <c r="KY1" s="53"/>
      <c r="KZ1" s="53"/>
      <c r="LA1" s="53"/>
      <c r="LB1" s="53"/>
      <c r="LC1" s="53"/>
      <c r="LD1" s="53"/>
      <c r="LE1" s="53"/>
      <c r="LF1" s="53"/>
      <c r="LG1" s="53"/>
      <c r="LH1" s="53"/>
      <c r="LI1" s="53"/>
      <c r="LJ1" s="53"/>
      <c r="LK1" s="53"/>
      <c r="LL1" s="53"/>
      <c r="LM1" s="53"/>
      <c r="LN1" s="53"/>
      <c r="LO1" s="53"/>
      <c r="LP1" s="53"/>
      <c r="LQ1" s="53"/>
      <c r="LR1" s="53"/>
      <c r="LS1" s="53"/>
      <c r="LT1" s="53"/>
      <c r="LU1" s="53"/>
      <c r="LV1" s="53"/>
      <c r="LW1" s="53"/>
      <c r="LX1" s="53"/>
      <c r="LY1" s="53"/>
      <c r="LZ1" s="53"/>
      <c r="MA1" s="53"/>
      <c r="MB1" s="53"/>
      <c r="MC1" s="53"/>
      <c r="MD1" s="53"/>
      <c r="ME1" s="53"/>
      <c r="MF1" s="53"/>
      <c r="MG1" s="53"/>
      <c r="MH1" s="53"/>
      <c r="MI1" s="53"/>
      <c r="MJ1" s="53"/>
      <c r="MK1" s="53"/>
      <c r="ML1" s="53"/>
      <c r="MM1" s="53"/>
      <c r="MN1" s="53"/>
      <c r="MO1" s="53"/>
      <c r="MP1" s="53"/>
      <c r="MQ1" s="53"/>
      <c r="MR1" s="53"/>
      <c r="MS1" s="53"/>
      <c r="MT1" s="53"/>
      <c r="MU1" s="53"/>
      <c r="MV1" s="53"/>
      <c r="MW1" s="53"/>
      <c r="MX1" s="53"/>
      <c r="MY1" s="53"/>
      <c r="MZ1" s="53"/>
      <c r="NA1" s="53"/>
      <c r="NB1" s="53"/>
      <c r="NC1" s="53"/>
      <c r="ND1" s="53"/>
      <c r="NE1" s="53"/>
      <c r="NF1" s="53"/>
      <c r="NG1" s="53"/>
      <c r="NH1" s="53"/>
      <c r="NI1" s="53"/>
      <c r="NJ1" s="53"/>
      <c r="NK1" s="53"/>
      <c r="NL1" s="53"/>
      <c r="NM1" s="53"/>
      <c r="NN1" s="53"/>
      <c r="NO1" s="53"/>
      <c r="NP1" s="53"/>
      <c r="NQ1" s="53"/>
      <c r="NR1" s="53"/>
      <c r="NS1" s="53"/>
      <c r="NT1" s="53"/>
      <c r="NU1" s="53"/>
      <c r="NV1" s="53"/>
      <c r="NW1" s="53"/>
      <c r="NX1" s="53"/>
      <c r="NY1" s="53"/>
      <c r="NZ1" s="53"/>
      <c r="OA1" s="53"/>
      <c r="OB1" s="53"/>
      <c r="OC1" s="53"/>
      <c r="OD1" s="53"/>
      <c r="OE1" s="53"/>
      <c r="OF1" s="53"/>
      <c r="OG1" s="53"/>
      <c r="OH1" s="53"/>
      <c r="OI1" s="53"/>
      <c r="OJ1" s="53"/>
      <c r="OK1" s="53"/>
      <c r="OL1" s="53"/>
      <c r="OM1" s="53"/>
      <c r="ON1" s="53"/>
      <c r="OO1" s="53"/>
      <c r="OP1" s="53"/>
      <c r="OQ1" s="53"/>
      <c r="OR1" s="53"/>
      <c r="OS1" s="53"/>
      <c r="OT1" s="53"/>
      <c r="OU1" s="53"/>
      <c r="OV1" s="53"/>
      <c r="OW1" s="53"/>
      <c r="OX1" s="53"/>
      <c r="OY1" s="53"/>
      <c r="OZ1" s="53"/>
      <c r="PA1" s="53"/>
      <c r="PB1" s="53"/>
      <c r="PC1" s="53"/>
      <c r="PD1" s="53"/>
      <c r="PE1" s="53"/>
      <c r="PF1" s="53"/>
      <c r="PG1" s="53"/>
      <c r="PH1" s="53"/>
      <c r="PI1" s="53"/>
      <c r="PJ1" s="53"/>
      <c r="PK1" s="53"/>
      <c r="PL1" s="53"/>
      <c r="PM1" s="53"/>
      <c r="PN1" s="53"/>
      <c r="PO1" s="53"/>
      <c r="PP1" s="53"/>
      <c r="PQ1" s="53"/>
      <c r="PR1" s="53"/>
      <c r="PS1" s="53"/>
      <c r="PT1" s="53"/>
      <c r="PU1" s="53"/>
      <c r="PV1" s="53"/>
      <c r="PW1" s="53"/>
      <c r="PX1" s="53"/>
      <c r="PY1" s="53"/>
      <c r="PZ1" s="53"/>
      <c r="QA1" s="53"/>
      <c r="QB1" s="53"/>
      <c r="QC1" s="53"/>
      <c r="QD1" s="53"/>
      <c r="QE1" s="53"/>
      <c r="QF1" s="53"/>
      <c r="QG1" s="53"/>
      <c r="QH1" s="53"/>
      <c r="QI1" s="53"/>
      <c r="QJ1" s="53"/>
      <c r="QK1" s="53"/>
      <c r="QL1" s="53"/>
      <c r="QM1" s="53"/>
      <c r="QN1" s="53"/>
      <c r="QO1" s="53"/>
      <c r="QP1" s="53"/>
      <c r="QQ1" s="53"/>
      <c r="QR1" s="53"/>
      <c r="QS1" s="53"/>
      <c r="QT1" s="53"/>
      <c r="QU1" s="53"/>
      <c r="QV1" s="53"/>
      <c r="QW1" s="53"/>
      <c r="QX1" s="53"/>
      <c r="QY1" s="53"/>
      <c r="QZ1" s="53"/>
      <c r="RA1" s="53"/>
      <c r="RB1" s="53"/>
      <c r="RC1" s="53"/>
      <c r="RD1" s="53"/>
      <c r="RE1" s="53"/>
      <c r="RF1" s="53"/>
      <c r="RG1" s="53"/>
      <c r="RH1" s="53"/>
      <c r="RI1" s="53"/>
      <c r="RJ1" s="53"/>
      <c r="RK1" s="53"/>
      <c r="RL1" s="53"/>
      <c r="RM1" s="53"/>
      <c r="RN1" s="53"/>
      <c r="RO1" s="53"/>
      <c r="RP1" s="53"/>
      <c r="RQ1" s="53"/>
      <c r="RR1" s="53"/>
      <c r="RS1" s="53"/>
      <c r="RT1" s="53"/>
      <c r="RU1" s="53"/>
      <c r="RV1" s="53"/>
      <c r="RW1" s="53"/>
      <c r="RX1" s="53"/>
      <c r="RY1" s="53"/>
    </row>
    <row r="2" spans="1:493" ht="28.5" customHeight="1">
      <c r="A2" s="9" t="s">
        <v>7</v>
      </c>
      <c r="B2" s="326">
        <v>2012</v>
      </c>
      <c r="C2" s="326"/>
      <c r="D2" s="326"/>
      <c r="E2" s="326"/>
      <c r="F2" s="327"/>
      <c r="G2" s="326">
        <v>2013</v>
      </c>
      <c r="H2" s="326"/>
      <c r="I2" s="326"/>
      <c r="J2" s="326"/>
      <c r="K2" s="327"/>
      <c r="L2" s="325">
        <v>2014</v>
      </c>
      <c r="M2" s="326"/>
      <c r="N2" s="326"/>
      <c r="O2" s="326"/>
      <c r="P2" s="327"/>
      <c r="Q2" s="325">
        <v>2015</v>
      </c>
      <c r="R2" s="326"/>
      <c r="S2" s="326"/>
      <c r="T2" s="326"/>
      <c r="U2" s="327"/>
      <c r="V2" s="322">
        <v>2016</v>
      </c>
      <c r="W2" s="323"/>
      <c r="X2" s="323"/>
      <c r="Y2" s="323"/>
      <c r="Z2" s="324"/>
    </row>
    <row r="3" spans="1:493" ht="16.5" customHeight="1" thickBot="1">
      <c r="A3" s="10" t="s">
        <v>8</v>
      </c>
      <c r="B3" s="33" t="s">
        <v>2</v>
      </c>
      <c r="C3" s="33" t="s">
        <v>3</v>
      </c>
      <c r="D3" s="33" t="s">
        <v>4</v>
      </c>
      <c r="E3" s="33" t="s">
        <v>5</v>
      </c>
      <c r="F3" s="34">
        <v>2012</v>
      </c>
      <c r="G3" s="35" t="s">
        <v>2</v>
      </c>
      <c r="H3" s="33" t="s">
        <v>3</v>
      </c>
      <c r="I3" s="33" t="s">
        <v>4</v>
      </c>
      <c r="J3" s="33" t="s">
        <v>5</v>
      </c>
      <c r="K3" s="34">
        <v>2013</v>
      </c>
      <c r="L3" s="35" t="s">
        <v>2</v>
      </c>
      <c r="M3" s="33" t="s">
        <v>3</v>
      </c>
      <c r="N3" s="33" t="s">
        <v>4</v>
      </c>
      <c r="O3" s="33" t="s">
        <v>5</v>
      </c>
      <c r="P3" s="36">
        <v>2014</v>
      </c>
      <c r="Q3" s="33" t="s">
        <v>2</v>
      </c>
      <c r="R3" s="33" t="s">
        <v>3</v>
      </c>
      <c r="S3" s="33" t="s">
        <v>4</v>
      </c>
      <c r="T3" s="33" t="s">
        <v>5</v>
      </c>
      <c r="U3" s="36">
        <v>2015</v>
      </c>
      <c r="V3" s="33" t="s">
        <v>142</v>
      </c>
      <c r="W3" s="33" t="s">
        <v>3</v>
      </c>
      <c r="X3" s="33" t="s">
        <v>4</v>
      </c>
      <c r="Y3" s="33" t="s">
        <v>5</v>
      </c>
      <c r="Z3" s="36" t="s">
        <v>171</v>
      </c>
    </row>
    <row r="4" spans="1:493" ht="34.5" customHeight="1" thickBot="1">
      <c r="A4" s="2" t="s">
        <v>9</v>
      </c>
      <c r="B4" s="37">
        <f>SUM(B5:B8)</f>
        <v>669.2</v>
      </c>
      <c r="C4" s="37">
        <f t="shared" ref="C4:G4" si="0">SUM(C5:C8)</f>
        <v>713.8</v>
      </c>
      <c r="D4" s="37">
        <f t="shared" si="0"/>
        <v>644.5</v>
      </c>
      <c r="E4" s="37">
        <f t="shared" si="0"/>
        <v>750.60000000000014</v>
      </c>
      <c r="F4" s="38">
        <f>SUM(F5:F8)</f>
        <v>2778.0999999999995</v>
      </c>
      <c r="G4" s="39">
        <f t="shared" si="0"/>
        <v>697.1</v>
      </c>
      <c r="H4" s="37">
        <f t="shared" ref="H4" si="1">SUM(H5:H8)</f>
        <v>735.9</v>
      </c>
      <c r="I4" s="37">
        <f t="shared" ref="I4" si="2">SUM(I5:I8)</f>
        <v>677.3</v>
      </c>
      <c r="J4" s="37">
        <f t="shared" ref="J4:M4" si="3">SUM(J5:J8)</f>
        <v>800.5</v>
      </c>
      <c r="K4" s="38">
        <f>SUM(K5:K8)</f>
        <v>2910.8</v>
      </c>
      <c r="L4" s="39">
        <f t="shared" si="3"/>
        <v>723.29999999999984</v>
      </c>
      <c r="M4" s="37">
        <f t="shared" si="3"/>
        <v>1745.9</v>
      </c>
      <c r="N4" s="37">
        <f t="shared" ref="N4" si="4">SUM(N5:N8)</f>
        <v>2419.6</v>
      </c>
      <c r="O4" s="37">
        <f t="shared" ref="O4" si="5">SUM(O5:O8)</f>
        <v>2521.1000000000004</v>
      </c>
      <c r="P4" s="40">
        <f>SUM(P5:P8)</f>
        <v>7409.9</v>
      </c>
      <c r="Q4" s="37">
        <f t="shared" ref="Q4:T4" si="6">SUM(Q5:Q8)</f>
        <v>2329</v>
      </c>
      <c r="R4" s="37">
        <f t="shared" si="6"/>
        <v>2469.1999999999998</v>
      </c>
      <c r="S4" s="37">
        <f t="shared" si="6"/>
        <v>2414.8999999999996</v>
      </c>
      <c r="T4" s="37">
        <f t="shared" si="6"/>
        <v>2609.9</v>
      </c>
      <c r="U4" s="40">
        <f>SUM(U5:U8)</f>
        <v>9823</v>
      </c>
      <c r="V4" s="37">
        <f t="shared" ref="V4:Y4" si="7">SUM(V5:V8)</f>
        <v>2364</v>
      </c>
      <c r="W4" s="37">
        <f t="shared" si="7"/>
        <v>2442.9</v>
      </c>
      <c r="X4" s="37">
        <f t="shared" si="7"/>
        <v>2387.8000000000002</v>
      </c>
      <c r="Y4" s="37">
        <f t="shared" si="7"/>
        <v>2535.1</v>
      </c>
      <c r="Z4" s="40">
        <f>SUM(Z5:Z8)</f>
        <v>9729.7999999999993</v>
      </c>
    </row>
    <row r="5" spans="1:493" ht="24.75" customHeight="1">
      <c r="A5" s="96" t="s">
        <v>10</v>
      </c>
      <c r="B5" s="48">
        <v>424</v>
      </c>
      <c r="C5" s="48">
        <v>427.1</v>
      </c>
      <c r="D5" s="48">
        <v>434.4</v>
      </c>
      <c r="E5" s="48">
        <v>446.6</v>
      </c>
      <c r="F5" s="23">
        <f>SUM(B5:E5)</f>
        <v>1732.1</v>
      </c>
      <c r="G5" s="50">
        <v>451.7</v>
      </c>
      <c r="H5" s="48">
        <v>452</v>
      </c>
      <c r="I5" s="48">
        <v>460.3</v>
      </c>
      <c r="J5" s="48">
        <v>466.1</v>
      </c>
      <c r="K5" s="23">
        <f>SUM(G5:J5)</f>
        <v>1830.1</v>
      </c>
      <c r="L5" s="50">
        <v>467.79999999999995</v>
      </c>
      <c r="M5" s="48">
        <v>1204.5</v>
      </c>
      <c r="N5" s="48">
        <v>1710.7</v>
      </c>
      <c r="O5" s="48">
        <v>1701.7</v>
      </c>
      <c r="P5" s="25">
        <f>SUM(L5:O5)</f>
        <v>5084.7</v>
      </c>
      <c r="Q5" s="48">
        <v>1637.2</v>
      </c>
      <c r="R5" s="48">
        <v>1652</v>
      </c>
      <c r="S5" s="48">
        <v>1643.3</v>
      </c>
      <c r="T5" s="132">
        <v>1620.6</v>
      </c>
      <c r="U5" s="25">
        <v>6553.1</v>
      </c>
      <c r="V5" s="48">
        <v>1565.7</v>
      </c>
      <c r="W5" s="48">
        <v>1586.9</v>
      </c>
      <c r="X5" s="48">
        <v>1583.7</v>
      </c>
      <c r="Y5" s="132">
        <v>1589</v>
      </c>
      <c r="Z5" s="25">
        <f>SUM(V5:Y5)</f>
        <v>6325.3</v>
      </c>
    </row>
    <row r="6" spans="1:493" ht="20.100000000000001" customHeight="1">
      <c r="A6" s="97" t="s">
        <v>11</v>
      </c>
      <c r="B6" s="48">
        <v>234.6</v>
      </c>
      <c r="C6" s="48">
        <v>272.7</v>
      </c>
      <c r="D6" s="48">
        <v>198</v>
      </c>
      <c r="E6" s="48">
        <v>286.3</v>
      </c>
      <c r="F6" s="23">
        <f t="shared" ref="F6:F8" si="8">SUM(B6:E6)</f>
        <v>991.59999999999991</v>
      </c>
      <c r="G6" s="50">
        <v>223.8</v>
      </c>
      <c r="H6" s="48">
        <v>265.2</v>
      </c>
      <c r="I6" s="48">
        <v>204</v>
      </c>
      <c r="J6" s="48">
        <v>317.2</v>
      </c>
      <c r="K6" s="23">
        <f t="shared" ref="K6:K8" si="9">SUM(G6:J6)</f>
        <v>1010.2</v>
      </c>
      <c r="L6" s="50">
        <v>242.19999999999993</v>
      </c>
      <c r="M6" s="48">
        <v>479.1</v>
      </c>
      <c r="N6" s="48">
        <v>591.6</v>
      </c>
      <c r="O6" s="48">
        <v>641.1</v>
      </c>
      <c r="P6" s="25">
        <f t="shared" ref="P6:P8" si="10">SUM(L6:O6)</f>
        <v>1954</v>
      </c>
      <c r="Q6" s="48">
        <v>553.29999999999995</v>
      </c>
      <c r="R6" s="48">
        <v>688.7</v>
      </c>
      <c r="S6" s="48">
        <v>616.9</v>
      </c>
      <c r="T6" s="133">
        <v>738</v>
      </c>
      <c r="U6" s="25">
        <v>2596.9</v>
      </c>
      <c r="V6" s="48">
        <v>599.79999999999995</v>
      </c>
      <c r="W6" s="48">
        <v>645</v>
      </c>
      <c r="X6" s="48">
        <v>562.9</v>
      </c>
      <c r="Y6" s="133">
        <v>658.4</v>
      </c>
      <c r="Z6" s="25">
        <f t="shared" ref="Z6:Z27" si="11">SUM(V6:Y6)</f>
        <v>2466.1</v>
      </c>
    </row>
    <row r="7" spans="1:493" ht="20.100000000000001" customHeight="1">
      <c r="A7" s="97" t="s">
        <v>12</v>
      </c>
      <c r="B7" s="48">
        <v>2.7</v>
      </c>
      <c r="C7" s="48">
        <v>6.2</v>
      </c>
      <c r="D7" s="48">
        <v>2.6</v>
      </c>
      <c r="E7" s="48">
        <v>7.2</v>
      </c>
      <c r="F7" s="23">
        <f t="shared" si="8"/>
        <v>18.7</v>
      </c>
      <c r="G7" s="50">
        <v>13.1</v>
      </c>
      <c r="H7" s="48">
        <v>11.8</v>
      </c>
      <c r="I7" s="48">
        <v>7.1</v>
      </c>
      <c r="J7" s="48">
        <v>9.6999999999999993</v>
      </c>
      <c r="K7" s="23">
        <f t="shared" si="9"/>
        <v>41.7</v>
      </c>
      <c r="L7" s="50">
        <v>7.8999999999999986</v>
      </c>
      <c r="M7" s="48">
        <v>55.4</v>
      </c>
      <c r="N7" s="48">
        <v>104.1</v>
      </c>
      <c r="O7" s="48">
        <v>159.9</v>
      </c>
      <c r="P7" s="25">
        <f t="shared" si="10"/>
        <v>327.29999999999995</v>
      </c>
      <c r="Q7" s="48">
        <v>118.4</v>
      </c>
      <c r="R7" s="48">
        <v>106.9</v>
      </c>
      <c r="S7" s="48">
        <v>131.19999999999999</v>
      </c>
      <c r="T7" s="133">
        <v>226.89999999999998</v>
      </c>
      <c r="U7" s="25">
        <v>583.4</v>
      </c>
      <c r="V7" s="48">
        <v>172.8</v>
      </c>
      <c r="W7" s="48">
        <v>191.1</v>
      </c>
      <c r="X7" s="48">
        <v>221.3</v>
      </c>
      <c r="Y7" s="133">
        <v>265.60000000000002</v>
      </c>
      <c r="Z7" s="25">
        <f t="shared" si="11"/>
        <v>850.80000000000007</v>
      </c>
    </row>
    <row r="8" spans="1:493" ht="20.100000000000001" customHeight="1" thickBot="1">
      <c r="A8" s="69" t="s">
        <v>13</v>
      </c>
      <c r="B8" s="48">
        <v>7.9</v>
      </c>
      <c r="C8" s="48">
        <v>7.8</v>
      </c>
      <c r="D8" s="48">
        <v>9.5</v>
      </c>
      <c r="E8" s="48">
        <v>10.5</v>
      </c>
      <c r="F8" s="23">
        <f t="shared" si="8"/>
        <v>35.700000000000003</v>
      </c>
      <c r="G8" s="50">
        <v>8.5</v>
      </c>
      <c r="H8" s="48">
        <v>6.9</v>
      </c>
      <c r="I8" s="48">
        <v>5.9</v>
      </c>
      <c r="J8" s="48">
        <v>7.5</v>
      </c>
      <c r="K8" s="23">
        <f t="shared" si="9"/>
        <v>28.8</v>
      </c>
      <c r="L8" s="50">
        <v>5.4</v>
      </c>
      <c r="M8" s="48">
        <v>6.9</v>
      </c>
      <c r="N8" s="48">
        <v>13.2</v>
      </c>
      <c r="O8" s="48">
        <v>18.399999999999999</v>
      </c>
      <c r="P8" s="25">
        <f t="shared" si="10"/>
        <v>43.9</v>
      </c>
      <c r="Q8" s="48">
        <v>20.100000000000001</v>
      </c>
      <c r="R8" s="48">
        <v>21.6</v>
      </c>
      <c r="S8" s="48">
        <v>23.5</v>
      </c>
      <c r="T8" s="133">
        <v>24.399999999999991</v>
      </c>
      <c r="U8" s="25">
        <v>89.6</v>
      </c>
      <c r="V8" s="48">
        <v>25.7</v>
      </c>
      <c r="W8" s="48">
        <v>19.899999999999999</v>
      </c>
      <c r="X8" s="48">
        <v>19.899999999999999</v>
      </c>
      <c r="Y8" s="133">
        <v>22.1</v>
      </c>
      <c r="Z8" s="25">
        <f t="shared" si="11"/>
        <v>87.6</v>
      </c>
    </row>
    <row r="9" spans="1:493" s="11" customFormat="1" ht="24.95" customHeight="1" thickBot="1">
      <c r="A9" s="2" t="s">
        <v>14</v>
      </c>
      <c r="B9" s="41">
        <f t="shared" ref="B9:N9" si="12">SUM(B10:B17)</f>
        <v>-464.5</v>
      </c>
      <c r="C9" s="41">
        <f t="shared" si="12"/>
        <v>-499.7</v>
      </c>
      <c r="D9" s="41">
        <f t="shared" si="12"/>
        <v>-444.9</v>
      </c>
      <c r="E9" s="41">
        <f t="shared" si="12"/>
        <v>-562.4</v>
      </c>
      <c r="F9" s="42">
        <f t="shared" si="12"/>
        <v>-1971.5000000000002</v>
      </c>
      <c r="G9" s="43">
        <f t="shared" si="12"/>
        <v>-512.92000000000007</v>
      </c>
      <c r="H9" s="41">
        <f t="shared" si="12"/>
        <v>-542.4</v>
      </c>
      <c r="I9" s="41">
        <f t="shared" si="12"/>
        <v>-510.7</v>
      </c>
      <c r="J9" s="41">
        <f t="shared" si="12"/>
        <v>-591.70000000000016</v>
      </c>
      <c r="K9" s="42">
        <f t="shared" si="12"/>
        <v>-2157.7200000000003</v>
      </c>
      <c r="L9" s="43">
        <f t="shared" si="12"/>
        <v>-507.49999999999994</v>
      </c>
      <c r="M9" s="41">
        <f t="shared" si="12"/>
        <v>-1351.8</v>
      </c>
      <c r="N9" s="41">
        <f t="shared" si="12"/>
        <v>-1992.5</v>
      </c>
      <c r="O9" s="41">
        <f t="shared" ref="O9" si="13">SUM(O10:O17)</f>
        <v>-2125.4</v>
      </c>
      <c r="P9" s="44">
        <f t="shared" ref="P9:U9" si="14">SUM(P10:P17)</f>
        <v>-5977.2000000000007</v>
      </c>
      <c r="Q9" s="41">
        <f t="shared" si="14"/>
        <v>-1908.9999999999998</v>
      </c>
      <c r="R9" s="41">
        <f t="shared" si="14"/>
        <v>-1899.4999999999998</v>
      </c>
      <c r="S9" s="41">
        <f t="shared" si="14"/>
        <v>-1900.1</v>
      </c>
      <c r="T9" s="41">
        <f t="shared" si="14"/>
        <v>-2159.2999999999997</v>
      </c>
      <c r="U9" s="44">
        <f t="shared" si="14"/>
        <v>-7867.9000000000005</v>
      </c>
      <c r="V9" s="41">
        <f t="shared" ref="V9:Z9" si="15">SUM(V10:V17)</f>
        <v>-1948</v>
      </c>
      <c r="W9" s="41">
        <f t="shared" si="15"/>
        <v>-2041.9999999999998</v>
      </c>
      <c r="X9" s="41">
        <f t="shared" si="15"/>
        <v>-1938.7</v>
      </c>
      <c r="Y9" s="41">
        <f t="shared" si="15"/>
        <v>-2140.6</v>
      </c>
      <c r="Z9" s="44">
        <f t="shared" si="15"/>
        <v>-8069.2999999999993</v>
      </c>
      <c r="AA9" s="52"/>
      <c r="AB9" s="52"/>
    </row>
    <row r="10" spans="1:493" ht="20.100000000000001" customHeight="1">
      <c r="A10" s="96" t="s">
        <v>15</v>
      </c>
      <c r="B10" s="49">
        <v>-206.8</v>
      </c>
      <c r="C10" s="49">
        <v>-226.6</v>
      </c>
      <c r="D10" s="49">
        <v>-171.5</v>
      </c>
      <c r="E10" s="49">
        <v>-219</v>
      </c>
      <c r="F10" s="24">
        <f>SUM(B10:E10)</f>
        <v>-823.9</v>
      </c>
      <c r="G10" s="51">
        <v>-207.5</v>
      </c>
      <c r="H10" s="49">
        <v>-239.5</v>
      </c>
      <c r="I10" s="49">
        <v>-219.3</v>
      </c>
      <c r="J10" s="49">
        <v>-260.7</v>
      </c>
      <c r="K10" s="24">
        <f>SUM(G10:J10)</f>
        <v>-927</v>
      </c>
      <c r="L10" s="51">
        <v>-210.7</v>
      </c>
      <c r="M10" s="49">
        <v>-260.89999999999998</v>
      </c>
      <c r="N10" s="49">
        <v>-262.39999999999998</v>
      </c>
      <c r="O10" s="49">
        <v>-295.60000000000002</v>
      </c>
      <c r="P10" s="26">
        <f>SUM(L10:O10)</f>
        <v>-1029.5999999999999</v>
      </c>
      <c r="Q10" s="49">
        <v>-235.5</v>
      </c>
      <c r="R10" s="49">
        <v>-274</v>
      </c>
      <c r="S10" s="49">
        <v>-257.3</v>
      </c>
      <c r="T10" s="133">
        <v>-299.10000000000014</v>
      </c>
      <c r="U10" s="26">
        <v>-1065.9000000000001</v>
      </c>
      <c r="V10" s="49">
        <v>-248.5</v>
      </c>
      <c r="W10" s="49">
        <v>-316.3</v>
      </c>
      <c r="X10" s="49">
        <v>-252.1</v>
      </c>
      <c r="Y10" s="133">
        <v>-297.3</v>
      </c>
      <c r="Z10" s="26">
        <f t="shared" si="11"/>
        <v>-1114.2</v>
      </c>
    </row>
    <row r="11" spans="1:493" ht="30">
      <c r="A11" s="98" t="s">
        <v>16</v>
      </c>
      <c r="B11" s="49">
        <v>-71.5</v>
      </c>
      <c r="C11" s="49">
        <v>-71.8</v>
      </c>
      <c r="D11" s="49">
        <v>-73.7</v>
      </c>
      <c r="E11" s="49">
        <v>-95.7</v>
      </c>
      <c r="F11" s="24">
        <f t="shared" ref="F11:F18" si="16">SUM(B11:E11)</f>
        <v>-312.7</v>
      </c>
      <c r="G11" s="51">
        <v>-79</v>
      </c>
      <c r="H11" s="49">
        <v>-81.3</v>
      </c>
      <c r="I11" s="49">
        <v>-79.3</v>
      </c>
      <c r="J11" s="49">
        <v>-92.4</v>
      </c>
      <c r="K11" s="24">
        <f t="shared" ref="K11:K18" si="17">SUM(G11:J11)</f>
        <v>-332</v>
      </c>
      <c r="L11" s="51">
        <v>-75.3</v>
      </c>
      <c r="M11" s="49">
        <v>-132.19999999999999</v>
      </c>
      <c r="N11" s="49">
        <v>-186.8</v>
      </c>
      <c r="O11" s="49">
        <v>-218.3</v>
      </c>
      <c r="P11" s="26">
        <f t="shared" ref="P11:P18" si="18">SUM(L11:O11)</f>
        <v>-612.6</v>
      </c>
      <c r="Q11" s="49">
        <v>-189.2</v>
      </c>
      <c r="R11" s="49">
        <v>-193.2</v>
      </c>
      <c r="S11" s="49">
        <v>-200.1</v>
      </c>
      <c r="T11" s="133">
        <v>-220.1</v>
      </c>
      <c r="U11" s="26">
        <v>-802.6</v>
      </c>
      <c r="V11" s="49">
        <v>-200.5</v>
      </c>
      <c r="W11" s="49">
        <v>-202.2</v>
      </c>
      <c r="X11" s="49">
        <v>-202.6</v>
      </c>
      <c r="Y11" s="133">
        <v>-222.5</v>
      </c>
      <c r="Z11" s="26">
        <f t="shared" si="11"/>
        <v>-827.8</v>
      </c>
    </row>
    <row r="12" spans="1:493" ht="20.100000000000001" customHeight="1">
      <c r="A12" s="97" t="s">
        <v>17</v>
      </c>
      <c r="B12" s="49">
        <v>-54.4</v>
      </c>
      <c r="C12" s="49">
        <v>-56.7</v>
      </c>
      <c r="D12" s="49">
        <v>-60.2</v>
      </c>
      <c r="E12" s="49">
        <v>-71.7</v>
      </c>
      <c r="F12" s="24">
        <f t="shared" si="16"/>
        <v>-243</v>
      </c>
      <c r="G12" s="51">
        <v>-60.7</v>
      </c>
      <c r="H12" s="49">
        <v>-62.3</v>
      </c>
      <c r="I12" s="49">
        <v>-64.8</v>
      </c>
      <c r="J12" s="49">
        <v>-68.599999999999994</v>
      </c>
      <c r="K12" s="24">
        <f t="shared" si="17"/>
        <v>-256.39999999999998</v>
      </c>
      <c r="L12" s="51">
        <v>-62.4</v>
      </c>
      <c r="M12" s="49">
        <v>-311.3</v>
      </c>
      <c r="N12" s="49">
        <v>-478.3</v>
      </c>
      <c r="O12" s="49">
        <v>-443.8</v>
      </c>
      <c r="P12" s="26">
        <f t="shared" si="18"/>
        <v>-1295.8</v>
      </c>
      <c r="Q12" s="49">
        <v>-467.9</v>
      </c>
      <c r="R12" s="49">
        <v>-393.5</v>
      </c>
      <c r="S12" s="49">
        <v>-401.2</v>
      </c>
      <c r="T12" s="133">
        <v>-436.70000000000005</v>
      </c>
      <c r="U12" s="26">
        <v>-1699.3</v>
      </c>
      <c r="V12" s="49">
        <v>-423.7</v>
      </c>
      <c r="W12" s="49">
        <v>-527.5</v>
      </c>
      <c r="X12" s="49">
        <v>-507.9</v>
      </c>
      <c r="Y12" s="133">
        <v>-512.4</v>
      </c>
      <c r="Z12" s="26">
        <f t="shared" si="11"/>
        <v>-1971.5</v>
      </c>
    </row>
    <row r="13" spans="1:493" ht="20.100000000000001" customHeight="1">
      <c r="A13" s="99" t="s">
        <v>18</v>
      </c>
      <c r="B13" s="49">
        <v>-49.7</v>
      </c>
      <c r="C13" s="49">
        <v>-55.1</v>
      </c>
      <c r="D13" s="49">
        <v>-58.6</v>
      </c>
      <c r="E13" s="49">
        <v>-59.3</v>
      </c>
      <c r="F13" s="24">
        <f t="shared" si="16"/>
        <v>-222.7</v>
      </c>
      <c r="G13" s="51">
        <v>-60.7</v>
      </c>
      <c r="H13" s="49">
        <v>-62</v>
      </c>
      <c r="I13" s="49">
        <v>-62.2</v>
      </c>
      <c r="J13" s="49">
        <v>-71.400000000000006</v>
      </c>
      <c r="K13" s="24">
        <f t="shared" si="17"/>
        <v>-256.3</v>
      </c>
      <c r="L13" s="51">
        <v>-71.400000000000006</v>
      </c>
      <c r="M13" s="49">
        <v>-288</v>
      </c>
      <c r="N13" s="49">
        <v>-495.9</v>
      </c>
      <c r="O13" s="49">
        <v>-557.20000000000005</v>
      </c>
      <c r="P13" s="26">
        <f t="shared" si="18"/>
        <v>-1412.5</v>
      </c>
      <c r="Q13" s="49">
        <v>-482.3</v>
      </c>
      <c r="R13" s="49">
        <v>-522.4</v>
      </c>
      <c r="S13" s="49">
        <v>-551.20000000000005</v>
      </c>
      <c r="T13" s="133">
        <v>-585.09999999999991</v>
      </c>
      <c r="U13" s="26">
        <v>-2141</v>
      </c>
      <c r="V13" s="49">
        <v>-550.29999999999995</v>
      </c>
      <c r="W13" s="49">
        <v>-456.6</v>
      </c>
      <c r="X13" s="49">
        <v>-459.2</v>
      </c>
      <c r="Y13" s="133">
        <v>-472.6</v>
      </c>
      <c r="Z13" s="26">
        <f t="shared" si="11"/>
        <v>-1938.6999999999998</v>
      </c>
    </row>
    <row r="14" spans="1:493" ht="20.100000000000001" customHeight="1">
      <c r="A14" s="97" t="s">
        <v>19</v>
      </c>
      <c r="B14" s="49">
        <v>-40.6</v>
      </c>
      <c r="C14" s="49">
        <v>-40.299999999999997</v>
      </c>
      <c r="D14" s="49">
        <v>-38.9</v>
      </c>
      <c r="E14" s="49">
        <v>-58.6</v>
      </c>
      <c r="F14" s="24">
        <f t="shared" si="16"/>
        <v>-178.4</v>
      </c>
      <c r="G14" s="51">
        <v>-43.1</v>
      </c>
      <c r="H14" s="49">
        <v>-41.9</v>
      </c>
      <c r="I14" s="49">
        <v>-40.4</v>
      </c>
      <c r="J14" s="49">
        <v>-53.2</v>
      </c>
      <c r="K14" s="24">
        <f t="shared" si="17"/>
        <v>-178.60000000000002</v>
      </c>
      <c r="L14" s="51">
        <v>-44.7</v>
      </c>
      <c r="M14" s="49">
        <v>-108.2</v>
      </c>
      <c r="N14" s="49">
        <v>-118</v>
      </c>
      <c r="O14" s="49">
        <v>-150.9</v>
      </c>
      <c r="P14" s="26">
        <f t="shared" si="18"/>
        <v>-421.79999999999995</v>
      </c>
      <c r="Q14" s="49">
        <v>-129.1</v>
      </c>
      <c r="R14" s="49">
        <v>-140.80000000000001</v>
      </c>
      <c r="S14" s="49">
        <v>-122.3</v>
      </c>
      <c r="T14" s="133">
        <v>-158.00000000000006</v>
      </c>
      <c r="U14" s="26">
        <v>-550.20000000000005</v>
      </c>
      <c r="V14" s="49">
        <v>-137.9</v>
      </c>
      <c r="W14" s="49">
        <v>-138.19999999999999</v>
      </c>
      <c r="X14" s="49">
        <v>-130.5</v>
      </c>
      <c r="Y14" s="133">
        <v>-163.9</v>
      </c>
      <c r="Z14" s="26">
        <f t="shared" si="11"/>
        <v>-570.5</v>
      </c>
    </row>
    <row r="15" spans="1:493" ht="20.100000000000001" customHeight="1">
      <c r="A15" s="97" t="s">
        <v>20</v>
      </c>
      <c r="B15" s="49">
        <v>-5.5</v>
      </c>
      <c r="C15" s="49">
        <v>-7.6</v>
      </c>
      <c r="D15" s="49">
        <v>-7</v>
      </c>
      <c r="E15" s="49">
        <v>-16.100000000000001</v>
      </c>
      <c r="F15" s="24">
        <f t="shared" si="16"/>
        <v>-36.200000000000003</v>
      </c>
      <c r="G15" s="51">
        <v>-25.8</v>
      </c>
      <c r="H15" s="49">
        <v>-16.8</v>
      </c>
      <c r="I15" s="49">
        <v>-10.7</v>
      </c>
      <c r="J15" s="49">
        <v>-10.6</v>
      </c>
      <c r="K15" s="24">
        <f t="shared" si="17"/>
        <v>-63.9</v>
      </c>
      <c r="L15" s="51">
        <v>-10.300000000000011</v>
      </c>
      <c r="M15" s="49">
        <v>-189.7</v>
      </c>
      <c r="N15" s="49">
        <v>-348.6</v>
      </c>
      <c r="O15" s="49">
        <v>-376.6</v>
      </c>
      <c r="P15" s="26">
        <f t="shared" si="18"/>
        <v>-925.2</v>
      </c>
      <c r="Q15" s="49">
        <v>-332.5</v>
      </c>
      <c r="R15" s="49">
        <v>-291.7</v>
      </c>
      <c r="S15" s="49">
        <v>-314.89999999999998</v>
      </c>
      <c r="T15" s="133">
        <v>-393.59999999999991</v>
      </c>
      <c r="U15" s="26">
        <v>-1332.8</v>
      </c>
      <c r="V15" s="49">
        <v>-326.8</v>
      </c>
      <c r="W15" s="49">
        <v>-317.3</v>
      </c>
      <c r="X15" s="49">
        <v>-330.5</v>
      </c>
      <c r="Y15" s="133">
        <v>-380.1</v>
      </c>
      <c r="Z15" s="26">
        <f t="shared" si="11"/>
        <v>-1354.7</v>
      </c>
    </row>
    <row r="16" spans="1:493" ht="30">
      <c r="A16" s="97" t="s">
        <v>21</v>
      </c>
      <c r="B16" s="49">
        <v>-5.9</v>
      </c>
      <c r="C16" s="49">
        <v>-8.4</v>
      </c>
      <c r="D16" s="49">
        <v>-5.3</v>
      </c>
      <c r="E16" s="49">
        <v>-7.8</v>
      </c>
      <c r="F16" s="24">
        <f t="shared" si="16"/>
        <v>-27.400000000000002</v>
      </c>
      <c r="G16" s="51">
        <v>-6.42</v>
      </c>
      <c r="H16" s="49">
        <v>-9.3000000000000007</v>
      </c>
      <c r="I16" s="49">
        <v>-5.3</v>
      </c>
      <c r="J16" s="49">
        <v>-7.2</v>
      </c>
      <c r="K16" s="24">
        <f t="shared" si="17"/>
        <v>-28.22</v>
      </c>
      <c r="L16" s="51">
        <v>-6.6999999999999993</v>
      </c>
      <c r="M16" s="49">
        <v>-18.100000000000001</v>
      </c>
      <c r="N16" s="49">
        <v>-15.3</v>
      </c>
      <c r="O16" s="49">
        <v>-27.5</v>
      </c>
      <c r="P16" s="26">
        <f t="shared" si="18"/>
        <v>-67.599999999999994</v>
      </c>
      <c r="Q16" s="49">
        <v>-18.7</v>
      </c>
      <c r="R16" s="49">
        <v>-27.8</v>
      </c>
      <c r="S16" s="49">
        <v>-8.5</v>
      </c>
      <c r="T16" s="133">
        <v>-7.6000000000000014</v>
      </c>
      <c r="U16" s="26">
        <v>-62.6</v>
      </c>
      <c r="V16" s="49">
        <v>-9.6</v>
      </c>
      <c r="W16" s="49">
        <v>-16.3</v>
      </c>
      <c r="X16" s="49">
        <v>-5.7</v>
      </c>
      <c r="Y16" s="133">
        <v>-15.3</v>
      </c>
      <c r="Z16" s="26">
        <f t="shared" si="11"/>
        <v>-46.9</v>
      </c>
    </row>
    <row r="17" spans="1:28" ht="18.75" customHeight="1" thickBot="1">
      <c r="A17" s="97" t="s">
        <v>22</v>
      </c>
      <c r="B17" s="49">
        <v>-30.1</v>
      </c>
      <c r="C17" s="49">
        <v>-33.200000000000003</v>
      </c>
      <c r="D17" s="49">
        <v>-29.7</v>
      </c>
      <c r="E17" s="49">
        <v>-34.200000000000003</v>
      </c>
      <c r="F17" s="24">
        <f t="shared" si="16"/>
        <v>-127.2</v>
      </c>
      <c r="G17" s="51">
        <v>-29.7</v>
      </c>
      <c r="H17" s="49">
        <v>-29.3</v>
      </c>
      <c r="I17" s="49">
        <v>-28.7</v>
      </c>
      <c r="J17" s="49">
        <v>-27.6</v>
      </c>
      <c r="K17" s="24">
        <f t="shared" si="17"/>
        <v>-115.30000000000001</v>
      </c>
      <c r="L17" s="51">
        <v>-26.000000000000007</v>
      </c>
      <c r="M17" s="49">
        <v>-43.4</v>
      </c>
      <c r="N17" s="49">
        <v>-87.2</v>
      </c>
      <c r="O17" s="49">
        <v>-55.5</v>
      </c>
      <c r="P17" s="26">
        <f t="shared" si="18"/>
        <v>-212.10000000000002</v>
      </c>
      <c r="Q17" s="49">
        <v>-53.8</v>
      </c>
      <c r="R17" s="49">
        <v>-56.1</v>
      </c>
      <c r="S17" s="49">
        <v>-44.6</v>
      </c>
      <c r="T17" s="133">
        <v>-59.099999999999994</v>
      </c>
      <c r="U17" s="26">
        <v>-213.5</v>
      </c>
      <c r="V17" s="49">
        <v>-50.7</v>
      </c>
      <c r="W17" s="49">
        <v>-67.599999999999994</v>
      </c>
      <c r="X17" s="49">
        <v>-50.2</v>
      </c>
      <c r="Y17" s="133">
        <v>-76.5</v>
      </c>
      <c r="Z17" s="26">
        <f t="shared" si="11"/>
        <v>-245</v>
      </c>
    </row>
    <row r="18" spans="1:28" s="140" customFormat="1" ht="20.100000000000001" customHeight="1" thickBot="1">
      <c r="A18" s="90" t="s">
        <v>23</v>
      </c>
      <c r="B18" s="317">
        <v>-1.7</v>
      </c>
      <c r="C18" s="317">
        <v>-1.1000000000000001</v>
      </c>
      <c r="D18" s="317">
        <v>-2</v>
      </c>
      <c r="E18" s="317">
        <v>-12.7</v>
      </c>
      <c r="F18" s="318">
        <f t="shared" si="16"/>
        <v>-17.5</v>
      </c>
      <c r="G18" s="319">
        <v>0.5</v>
      </c>
      <c r="H18" s="317">
        <v>1.5</v>
      </c>
      <c r="I18" s="317">
        <v>36.799999999999997</v>
      </c>
      <c r="J18" s="317">
        <v>-2</v>
      </c>
      <c r="K18" s="318">
        <f t="shared" si="17"/>
        <v>36.799999999999997</v>
      </c>
      <c r="L18" s="319">
        <v>3.6</v>
      </c>
      <c r="M18" s="317">
        <v>3.5</v>
      </c>
      <c r="N18" s="317">
        <v>4.7</v>
      </c>
      <c r="O18" s="317">
        <v>-2.2000000000000002</v>
      </c>
      <c r="P18" s="320">
        <f t="shared" si="18"/>
        <v>9.6000000000000014</v>
      </c>
      <c r="Q18" s="317">
        <v>8.6999999999999993</v>
      </c>
      <c r="R18" s="317">
        <v>13.8</v>
      </c>
      <c r="S18" s="317">
        <v>14.4</v>
      </c>
      <c r="T18" s="317">
        <v>-6.2</v>
      </c>
      <c r="U18" s="320">
        <v>30.7</v>
      </c>
      <c r="V18" s="317">
        <v>6.8</v>
      </c>
      <c r="W18" s="317">
        <v>6.6</v>
      </c>
      <c r="X18" s="188">
        <v>0</v>
      </c>
      <c r="Y18" s="317">
        <v>-4.5999999999999996</v>
      </c>
      <c r="Z18" s="320">
        <f t="shared" si="11"/>
        <v>8.7999999999999989</v>
      </c>
      <c r="AA18" s="139"/>
      <c r="AB18" s="139"/>
    </row>
    <row r="19" spans="1:28" s="11" customFormat="1" ht="24.95" customHeight="1" thickBot="1">
      <c r="A19" s="90" t="s">
        <v>24</v>
      </c>
      <c r="B19" s="41">
        <f t="shared" ref="B19:N19" si="19">B4+B9+B18</f>
        <v>203.00000000000006</v>
      </c>
      <c r="C19" s="41">
        <f t="shared" si="19"/>
        <v>212.99999999999997</v>
      </c>
      <c r="D19" s="41">
        <f t="shared" si="19"/>
        <v>197.60000000000002</v>
      </c>
      <c r="E19" s="41">
        <f t="shared" si="19"/>
        <v>175.50000000000017</v>
      </c>
      <c r="F19" s="45">
        <f t="shared" si="19"/>
        <v>789.09999999999923</v>
      </c>
      <c r="G19" s="39">
        <f t="shared" si="19"/>
        <v>184.67999999999995</v>
      </c>
      <c r="H19" s="37">
        <f t="shared" si="19"/>
        <v>195</v>
      </c>
      <c r="I19" s="37">
        <f t="shared" si="19"/>
        <v>203.39999999999998</v>
      </c>
      <c r="J19" s="37">
        <f t="shared" si="19"/>
        <v>206.79999999999984</v>
      </c>
      <c r="K19" s="45">
        <f t="shared" si="19"/>
        <v>789.87999999999988</v>
      </c>
      <c r="L19" s="39">
        <f t="shared" si="19"/>
        <v>219.39999999999989</v>
      </c>
      <c r="M19" s="37">
        <f t="shared" si="19"/>
        <v>397.60000000000014</v>
      </c>
      <c r="N19" s="37">
        <f t="shared" si="19"/>
        <v>431.7999999999999</v>
      </c>
      <c r="O19" s="37">
        <f t="shared" ref="O19" si="20">O4+O9+O18</f>
        <v>393.50000000000028</v>
      </c>
      <c r="P19" s="46">
        <f t="shared" ref="P19:U19" si="21">P4+P9+P18</f>
        <v>1442.2999999999988</v>
      </c>
      <c r="Q19" s="37">
        <f t="shared" si="21"/>
        <v>428.70000000000022</v>
      </c>
      <c r="R19" s="37">
        <f t="shared" si="21"/>
        <v>583.5</v>
      </c>
      <c r="S19" s="37">
        <f t="shared" si="21"/>
        <v>529.1999999999997</v>
      </c>
      <c r="T19" s="37">
        <f t="shared" si="21"/>
        <v>444.40000000000038</v>
      </c>
      <c r="U19" s="46">
        <f t="shared" si="21"/>
        <v>1985.7999999999995</v>
      </c>
      <c r="V19" s="37">
        <f t="shared" ref="V19:Z19" si="22">V4+V9+V18</f>
        <v>422.8</v>
      </c>
      <c r="W19" s="37">
        <f t="shared" si="22"/>
        <v>407.50000000000034</v>
      </c>
      <c r="X19" s="37">
        <f t="shared" si="22"/>
        <v>449.10000000000014</v>
      </c>
      <c r="Y19" s="37">
        <f t="shared" si="22"/>
        <v>389.9</v>
      </c>
      <c r="Z19" s="46">
        <f t="shared" si="22"/>
        <v>1669.3</v>
      </c>
      <c r="AA19" s="52"/>
      <c r="AB19" s="52"/>
    </row>
    <row r="20" spans="1:28" ht="20.100000000000001" customHeight="1">
      <c r="A20" s="91" t="s">
        <v>25</v>
      </c>
      <c r="B20" s="49">
        <v>12.5</v>
      </c>
      <c r="C20" s="49">
        <v>-8.5</v>
      </c>
      <c r="D20" s="49">
        <v>5.3</v>
      </c>
      <c r="E20" s="49">
        <v>5</v>
      </c>
      <c r="F20" s="24">
        <f>SUM(B20:E20)</f>
        <v>14.3</v>
      </c>
      <c r="G20" s="51">
        <v>3.9</v>
      </c>
      <c r="H20" s="49">
        <v>0.7</v>
      </c>
      <c r="I20" s="49">
        <v>7.4</v>
      </c>
      <c r="J20" s="49">
        <v>4.0999999999999996</v>
      </c>
      <c r="K20" s="24">
        <f>SUM(G20:J20)</f>
        <v>16.100000000000001</v>
      </c>
      <c r="L20" s="51">
        <v>1.3</v>
      </c>
      <c r="M20" s="49">
        <v>23.9</v>
      </c>
      <c r="N20" s="49">
        <v>1.5</v>
      </c>
      <c r="O20" s="49">
        <v>-11.4</v>
      </c>
      <c r="P20" s="26">
        <f>SUM(L20:O20)</f>
        <v>15.299999999999999</v>
      </c>
      <c r="Q20" s="49">
        <v>28.9</v>
      </c>
      <c r="R20" s="49">
        <v>-11.9</v>
      </c>
      <c r="S20" s="49">
        <v>-5.2</v>
      </c>
      <c r="T20" s="133">
        <v>-3.2</v>
      </c>
      <c r="U20" s="26">
        <f>SUM(Q20:T20)</f>
        <v>8.6000000000000014</v>
      </c>
      <c r="V20" s="49">
        <v>-35.200000000000003</v>
      </c>
      <c r="W20" s="49">
        <v>-21.4</v>
      </c>
      <c r="X20" s="49">
        <v>13.1</v>
      </c>
      <c r="Y20" s="133">
        <v>-26.3</v>
      </c>
      <c r="Z20" s="26">
        <f t="shared" si="11"/>
        <v>-69.8</v>
      </c>
    </row>
    <row r="21" spans="1:28" ht="20.100000000000001" customHeight="1">
      <c r="A21" s="92" t="s">
        <v>26</v>
      </c>
      <c r="B21" s="49">
        <v>30.1</v>
      </c>
      <c r="C21" s="49">
        <v>-92.4</v>
      </c>
      <c r="D21" s="49">
        <v>-5.2</v>
      </c>
      <c r="E21" s="49">
        <v>-43.1</v>
      </c>
      <c r="F21" s="24">
        <f t="shared" ref="F21:F22" si="23">SUM(B21:E21)</f>
        <v>-110.6</v>
      </c>
      <c r="G21" s="51">
        <v>-80.099999999999994</v>
      </c>
      <c r="H21" s="49">
        <v>-102.4</v>
      </c>
      <c r="I21" s="49">
        <v>-10.7</v>
      </c>
      <c r="J21" s="49">
        <v>-22.8</v>
      </c>
      <c r="K21" s="24">
        <f t="shared" ref="K21:K22" si="24">SUM(G21:J21)</f>
        <v>-216</v>
      </c>
      <c r="L21" s="51">
        <v>-108.8</v>
      </c>
      <c r="M21" s="49">
        <v>-273.39999999999998</v>
      </c>
      <c r="N21" s="49">
        <v>-384.7</v>
      </c>
      <c r="O21" s="49">
        <v>-379.2</v>
      </c>
      <c r="P21" s="26">
        <f t="shared" ref="P21:P22" si="25">SUM(L21:O21)</f>
        <v>-1146.0999999999999</v>
      </c>
      <c r="Q21" s="49">
        <v>-261.3</v>
      </c>
      <c r="R21" s="49">
        <v>-222.1</v>
      </c>
      <c r="S21" s="49">
        <v>88.8</v>
      </c>
      <c r="T21" s="133">
        <v>-270</v>
      </c>
      <c r="U21" s="26">
        <f t="shared" ref="U21:U22" si="26">SUM(Q21:T21)</f>
        <v>-664.59999999999991</v>
      </c>
      <c r="V21" s="49">
        <v>-182.7</v>
      </c>
      <c r="W21" s="49">
        <v>-133.19999999999999</v>
      </c>
      <c r="X21" s="49">
        <v>-127.3</v>
      </c>
      <c r="Y21" s="133">
        <v>-122.9</v>
      </c>
      <c r="Z21" s="26">
        <f t="shared" si="11"/>
        <v>-566.1</v>
      </c>
    </row>
    <row r="22" spans="1:28" ht="30.75" thickBot="1">
      <c r="A22" s="310" t="s">
        <v>145</v>
      </c>
      <c r="B22" s="49">
        <v>0.7</v>
      </c>
      <c r="C22" s="49">
        <v>0.8</v>
      </c>
      <c r="D22" s="49">
        <v>0.5</v>
      </c>
      <c r="E22" s="49">
        <v>0.8</v>
      </c>
      <c r="F22" s="24">
        <f t="shared" si="23"/>
        <v>2.8</v>
      </c>
      <c r="G22" s="51">
        <v>0.8</v>
      </c>
      <c r="H22" s="49">
        <v>0.8</v>
      </c>
      <c r="I22" s="49">
        <v>0.7</v>
      </c>
      <c r="J22" s="49">
        <v>0.6</v>
      </c>
      <c r="K22" s="24">
        <f t="shared" si="24"/>
        <v>2.9</v>
      </c>
      <c r="L22" s="51">
        <v>0.7</v>
      </c>
      <c r="M22" s="49">
        <v>0.7</v>
      </c>
      <c r="N22" s="49">
        <v>0.7</v>
      </c>
      <c r="O22" s="49">
        <v>0.6</v>
      </c>
      <c r="P22" s="26">
        <f t="shared" si="25"/>
        <v>2.6999999999999997</v>
      </c>
      <c r="Q22" s="49">
        <v>0.5</v>
      </c>
      <c r="R22" s="49">
        <v>0.9</v>
      </c>
      <c r="S22" s="49">
        <v>0.5</v>
      </c>
      <c r="T22" s="133">
        <v>0.70000000000000018</v>
      </c>
      <c r="U22" s="26">
        <f t="shared" si="26"/>
        <v>2.6</v>
      </c>
      <c r="V22" s="49">
        <v>0.8</v>
      </c>
      <c r="W22" s="49">
        <v>-0.8</v>
      </c>
      <c r="X22" s="314">
        <v>0</v>
      </c>
      <c r="Y22" s="133">
        <v>0</v>
      </c>
      <c r="Z22" s="26">
        <f t="shared" si="11"/>
        <v>0</v>
      </c>
    </row>
    <row r="23" spans="1:28" s="11" customFormat="1" ht="24.95" customHeight="1" thickBot="1">
      <c r="A23" s="93" t="s">
        <v>28</v>
      </c>
      <c r="B23" s="37">
        <f>B19+B20+B21+B22</f>
        <v>246.30000000000004</v>
      </c>
      <c r="C23" s="37">
        <f t="shared" ref="C23:M23" si="27">C19+C20+C21+C22</f>
        <v>112.89999999999996</v>
      </c>
      <c r="D23" s="37">
        <f t="shared" si="27"/>
        <v>198.20000000000005</v>
      </c>
      <c r="E23" s="37">
        <f t="shared" si="27"/>
        <v>138.20000000000019</v>
      </c>
      <c r="F23" s="45">
        <f t="shared" si="27"/>
        <v>695.59999999999911</v>
      </c>
      <c r="G23" s="39">
        <f t="shared" si="27"/>
        <v>109.27999999999996</v>
      </c>
      <c r="H23" s="37">
        <f t="shared" si="27"/>
        <v>94.09999999999998</v>
      </c>
      <c r="I23" s="37">
        <f t="shared" si="27"/>
        <v>200.79999999999998</v>
      </c>
      <c r="J23" s="37">
        <f t="shared" si="27"/>
        <v>188.69999999999982</v>
      </c>
      <c r="K23" s="45">
        <f t="shared" si="27"/>
        <v>592.87999999999988</v>
      </c>
      <c r="L23" s="39">
        <f t="shared" si="27"/>
        <v>112.59999999999991</v>
      </c>
      <c r="M23" s="37">
        <f t="shared" si="27"/>
        <v>148.80000000000013</v>
      </c>
      <c r="N23" s="37">
        <f t="shared" ref="N23" si="28">N19+N20+N21+N22</f>
        <v>49.299999999999912</v>
      </c>
      <c r="O23" s="37">
        <f t="shared" ref="O23" si="29">O19+O20+O21+O22</f>
        <v>3.5000000000003184</v>
      </c>
      <c r="P23" s="46">
        <f t="shared" ref="P23:U23" si="30">P19+P20+P21+P22</f>
        <v>314.19999999999885</v>
      </c>
      <c r="Q23" s="37">
        <f t="shared" si="30"/>
        <v>196.80000000000018</v>
      </c>
      <c r="R23" s="37">
        <f t="shared" si="30"/>
        <v>350.4</v>
      </c>
      <c r="S23" s="37">
        <f t="shared" si="30"/>
        <v>613.29999999999961</v>
      </c>
      <c r="T23" s="37">
        <f t="shared" si="30"/>
        <v>171.90000000000038</v>
      </c>
      <c r="U23" s="46">
        <f t="shared" si="30"/>
        <v>1332.3999999999994</v>
      </c>
      <c r="V23" s="37">
        <f t="shared" ref="V23:Z23" si="31">V19+V20+V21+V22</f>
        <v>205.70000000000005</v>
      </c>
      <c r="W23" s="37">
        <f t="shared" si="31"/>
        <v>252.10000000000036</v>
      </c>
      <c r="X23" s="37">
        <f t="shared" si="31"/>
        <v>334.90000000000015</v>
      </c>
      <c r="Y23" s="37">
        <f t="shared" si="31"/>
        <v>240.69999999999996</v>
      </c>
      <c r="Z23" s="46">
        <f t="shared" si="31"/>
        <v>1033.4000000000001</v>
      </c>
      <c r="AA23" s="52"/>
      <c r="AB23" s="52"/>
    </row>
    <row r="24" spans="1:28" ht="20.100000000000001" customHeight="1" thickBot="1">
      <c r="A24" s="94" t="s">
        <v>29</v>
      </c>
      <c r="B24" s="49">
        <v>-41.2</v>
      </c>
      <c r="C24" s="49">
        <v>-13.4</v>
      </c>
      <c r="D24" s="49">
        <v>-26.2</v>
      </c>
      <c r="E24" s="49">
        <v>-16.600000000000001</v>
      </c>
      <c r="F24" s="24">
        <f>SUM(B24:E24)</f>
        <v>-97.4</v>
      </c>
      <c r="G24" s="51">
        <v>-14.1</v>
      </c>
      <c r="H24" s="49">
        <v>-13.4</v>
      </c>
      <c r="I24" s="49">
        <v>-24.4</v>
      </c>
      <c r="J24" s="49">
        <v>-15.5</v>
      </c>
      <c r="K24" s="24">
        <f>SUM(G24:J24)</f>
        <v>-67.400000000000006</v>
      </c>
      <c r="L24" s="51">
        <v>-14.400000000000002</v>
      </c>
      <c r="M24" s="49">
        <v>-16.7</v>
      </c>
      <c r="N24" s="49">
        <v>-1.1000000000000001</v>
      </c>
      <c r="O24" s="49">
        <v>10.5</v>
      </c>
      <c r="P24" s="26">
        <f>SUM(L24:O24)</f>
        <v>-21.700000000000003</v>
      </c>
      <c r="Q24" s="49">
        <v>-26</v>
      </c>
      <c r="R24" s="49">
        <v>-45.9</v>
      </c>
      <c r="S24" s="49">
        <v>-110.8</v>
      </c>
      <c r="T24" s="49">
        <v>13.7</v>
      </c>
      <c r="U24" s="26">
        <f>SUM(Q24:T24)</f>
        <v>-169</v>
      </c>
      <c r="V24" s="49">
        <v>-27.2</v>
      </c>
      <c r="W24" s="49">
        <v>-21.2</v>
      </c>
      <c r="X24" s="49">
        <v>-65.099999999999994</v>
      </c>
      <c r="Y24" s="49">
        <v>101.1</v>
      </c>
      <c r="Z24" s="26">
        <f t="shared" si="11"/>
        <v>-12.400000000000006</v>
      </c>
    </row>
    <row r="25" spans="1:28" s="11" customFormat="1" ht="24.95" customHeight="1" thickBot="1">
      <c r="A25" s="95" t="s">
        <v>30</v>
      </c>
      <c r="B25" s="37">
        <f t="shared" ref="B25:M25" si="32">B23+B24</f>
        <v>205.10000000000002</v>
      </c>
      <c r="C25" s="37">
        <f t="shared" si="32"/>
        <v>99.499999999999957</v>
      </c>
      <c r="D25" s="37">
        <f t="shared" si="32"/>
        <v>172.00000000000006</v>
      </c>
      <c r="E25" s="37">
        <f t="shared" si="32"/>
        <v>121.60000000000019</v>
      </c>
      <c r="F25" s="45">
        <f>F23+F24</f>
        <v>598.19999999999914</v>
      </c>
      <c r="G25" s="39">
        <f t="shared" si="32"/>
        <v>95.179999999999964</v>
      </c>
      <c r="H25" s="37">
        <f t="shared" si="32"/>
        <v>80.699999999999974</v>
      </c>
      <c r="I25" s="37">
        <f t="shared" si="32"/>
        <v>176.39999999999998</v>
      </c>
      <c r="J25" s="37">
        <f t="shared" si="32"/>
        <v>173.19999999999982</v>
      </c>
      <c r="K25" s="45">
        <f t="shared" si="32"/>
        <v>525.4799999999999</v>
      </c>
      <c r="L25" s="39">
        <f t="shared" si="32"/>
        <v>98.199999999999903</v>
      </c>
      <c r="M25" s="37">
        <f t="shared" si="32"/>
        <v>132.10000000000014</v>
      </c>
      <c r="N25" s="37">
        <f t="shared" ref="N25" si="33">N23+N24</f>
        <v>48.19999999999991</v>
      </c>
      <c r="O25" s="37">
        <f t="shared" ref="O25" si="34">O23+O24</f>
        <v>14.000000000000318</v>
      </c>
      <c r="P25" s="46">
        <f t="shared" ref="P25:U25" si="35">P23+P24</f>
        <v>292.49999999999886</v>
      </c>
      <c r="Q25" s="37">
        <f t="shared" si="35"/>
        <v>170.80000000000018</v>
      </c>
      <c r="R25" s="37">
        <f t="shared" si="35"/>
        <v>304.5</v>
      </c>
      <c r="S25" s="37">
        <f t="shared" si="35"/>
        <v>502.4999999999996</v>
      </c>
      <c r="T25" s="37">
        <f t="shared" si="35"/>
        <v>185.60000000000036</v>
      </c>
      <c r="U25" s="46">
        <f t="shared" si="35"/>
        <v>1163.3999999999994</v>
      </c>
      <c r="V25" s="37">
        <f t="shared" ref="V25:Z25" si="36">V23+V24</f>
        <v>178.50000000000006</v>
      </c>
      <c r="W25" s="37">
        <f t="shared" si="36"/>
        <v>230.90000000000038</v>
      </c>
      <c r="X25" s="37">
        <f t="shared" si="36"/>
        <v>269.80000000000018</v>
      </c>
      <c r="Y25" s="37">
        <f t="shared" si="36"/>
        <v>341.79999999999995</v>
      </c>
      <c r="Z25" s="46">
        <f t="shared" si="36"/>
        <v>1021.0000000000001</v>
      </c>
      <c r="AA25" s="52"/>
      <c r="AB25" s="52"/>
    </row>
    <row r="26" spans="1:28" s="11" customFormat="1" ht="24.95" customHeight="1">
      <c r="A26" s="269" t="s">
        <v>135</v>
      </c>
      <c r="B26" s="270">
        <f t="shared" ref="B26:R26" si="37">B25</f>
        <v>205.10000000000002</v>
      </c>
      <c r="C26" s="49">
        <f t="shared" si="37"/>
        <v>99.499999999999957</v>
      </c>
      <c r="D26" s="49">
        <f t="shared" si="37"/>
        <v>172.00000000000006</v>
      </c>
      <c r="E26" s="49">
        <f t="shared" si="37"/>
        <v>121.60000000000019</v>
      </c>
      <c r="F26" s="24">
        <f t="shared" si="37"/>
        <v>598.19999999999914</v>
      </c>
      <c r="G26" s="51">
        <f t="shared" si="37"/>
        <v>95.179999999999964</v>
      </c>
      <c r="H26" s="49">
        <f t="shared" si="37"/>
        <v>80.699999999999974</v>
      </c>
      <c r="I26" s="49">
        <f t="shared" si="37"/>
        <v>176.39999999999998</v>
      </c>
      <c r="J26" s="49">
        <f t="shared" si="37"/>
        <v>173.19999999999982</v>
      </c>
      <c r="K26" s="24">
        <f t="shared" si="37"/>
        <v>525.4799999999999</v>
      </c>
      <c r="L26" s="51">
        <f t="shared" si="37"/>
        <v>98.199999999999903</v>
      </c>
      <c r="M26" s="49">
        <f t="shared" si="37"/>
        <v>132.10000000000014</v>
      </c>
      <c r="N26" s="49">
        <f t="shared" si="37"/>
        <v>48.19999999999991</v>
      </c>
      <c r="O26" s="49">
        <f t="shared" si="37"/>
        <v>14.000000000000318</v>
      </c>
      <c r="P26" s="26">
        <f t="shared" si="37"/>
        <v>292.49999999999886</v>
      </c>
      <c r="Q26" s="49">
        <f t="shared" si="37"/>
        <v>170.80000000000018</v>
      </c>
      <c r="R26" s="49">
        <f t="shared" si="37"/>
        <v>304.5</v>
      </c>
      <c r="S26" s="49">
        <f>S25</f>
        <v>502.4999999999996</v>
      </c>
      <c r="T26" s="49">
        <f>T25</f>
        <v>185.60000000000036</v>
      </c>
      <c r="U26" s="26">
        <f>U25</f>
        <v>1163.3999999999994</v>
      </c>
      <c r="V26" s="49">
        <f>175.5</f>
        <v>175.5</v>
      </c>
      <c r="W26" s="49">
        <v>237.7</v>
      </c>
      <c r="X26" s="49">
        <v>278.2</v>
      </c>
      <c r="Y26" s="49">
        <v>349.9</v>
      </c>
      <c r="Z26" s="26">
        <f t="shared" si="11"/>
        <v>1041.3</v>
      </c>
      <c r="AA26" s="52"/>
      <c r="AB26" s="52"/>
    </row>
    <row r="27" spans="1:28" s="11" customFormat="1" ht="24.95" customHeight="1">
      <c r="A27" s="311" t="s">
        <v>146</v>
      </c>
      <c r="B27" s="49"/>
      <c r="C27" s="49"/>
      <c r="D27" s="49"/>
      <c r="E27" s="49"/>
      <c r="F27" s="24"/>
      <c r="G27" s="51"/>
      <c r="H27" s="49"/>
      <c r="I27" s="49"/>
      <c r="J27" s="49"/>
      <c r="K27" s="24"/>
      <c r="L27" s="51"/>
      <c r="M27" s="49"/>
      <c r="N27" s="49"/>
      <c r="O27" s="49"/>
      <c r="P27" s="26"/>
      <c r="Q27" s="49"/>
      <c r="R27" s="49"/>
      <c r="S27" s="49"/>
      <c r="T27" s="49"/>
      <c r="U27" s="26"/>
      <c r="V27" s="49">
        <v>3</v>
      </c>
      <c r="W27" s="49">
        <v>-6.8</v>
      </c>
      <c r="X27" s="49">
        <v>-8.4</v>
      </c>
      <c r="Y27" s="49">
        <v>-8.1</v>
      </c>
      <c r="Z27" s="26">
        <f t="shared" si="11"/>
        <v>-20.299999999999997</v>
      </c>
      <c r="AA27" s="52"/>
      <c r="AB27" s="52"/>
    </row>
    <row r="28" spans="1:28" s="144" customFormat="1" ht="24.95" customHeight="1">
      <c r="A28" s="141" t="s">
        <v>136</v>
      </c>
      <c r="B28" s="134">
        <f t="shared" ref="B28:L28" si="38">ROUND(B25/348.352836,2)</f>
        <v>0.59</v>
      </c>
      <c r="C28" s="134">
        <f t="shared" si="38"/>
        <v>0.28999999999999998</v>
      </c>
      <c r="D28" s="134">
        <f t="shared" si="38"/>
        <v>0.49</v>
      </c>
      <c r="E28" s="134">
        <f t="shared" si="38"/>
        <v>0.35</v>
      </c>
      <c r="F28" s="142">
        <f t="shared" si="38"/>
        <v>1.72</v>
      </c>
      <c r="G28" s="143">
        <f t="shared" si="38"/>
        <v>0.27</v>
      </c>
      <c r="H28" s="134">
        <f t="shared" si="38"/>
        <v>0.23</v>
      </c>
      <c r="I28" s="134">
        <f t="shared" si="38"/>
        <v>0.51</v>
      </c>
      <c r="J28" s="134">
        <f t="shared" si="38"/>
        <v>0.5</v>
      </c>
      <c r="K28" s="142">
        <f t="shared" si="38"/>
        <v>1.51</v>
      </c>
      <c r="L28" s="143">
        <f t="shared" si="38"/>
        <v>0.28000000000000003</v>
      </c>
      <c r="M28" s="134">
        <f>ROUND(M25/524.348714,2)</f>
        <v>0.25</v>
      </c>
      <c r="N28" s="134">
        <f>ROUND(N25/639.546016,2)</f>
        <v>0.08</v>
      </c>
      <c r="O28" s="134">
        <f>ROUND(O25/639.546016,2)</f>
        <v>0.02</v>
      </c>
      <c r="P28" s="135">
        <f>ROUND(P25/539.024535,2)</f>
        <v>0.54</v>
      </c>
      <c r="Q28" s="134">
        <f t="shared" ref="Q28:X28" si="39">ROUND(Q25/639.546016,2)</f>
        <v>0.27</v>
      </c>
      <c r="R28" s="134">
        <f t="shared" si="39"/>
        <v>0.48</v>
      </c>
      <c r="S28" s="134">
        <f t="shared" si="39"/>
        <v>0.79</v>
      </c>
      <c r="T28" s="134">
        <f t="shared" si="39"/>
        <v>0.28999999999999998</v>
      </c>
      <c r="U28" s="135">
        <f t="shared" si="39"/>
        <v>1.82</v>
      </c>
      <c r="V28" s="134">
        <f t="shared" si="39"/>
        <v>0.28000000000000003</v>
      </c>
      <c r="W28" s="134">
        <f t="shared" si="39"/>
        <v>0.36</v>
      </c>
      <c r="X28" s="134">
        <f t="shared" si="39"/>
        <v>0.42</v>
      </c>
      <c r="Y28" s="134">
        <f>ROUNDUP(Y25/639.546016,2)</f>
        <v>0.54</v>
      </c>
      <c r="Z28" s="135">
        <f t="shared" ref="Z28" si="40">ROUND(Z25/639.546016,2)</f>
        <v>1.6</v>
      </c>
      <c r="AA28" s="139"/>
      <c r="AB28" s="139"/>
    </row>
    <row r="29" spans="1:28" s="47" customFormat="1" ht="20.100000000000001" customHeight="1" thickBot="1">
      <c r="A29" s="17"/>
      <c r="B29" s="32"/>
      <c r="C29" s="32"/>
      <c r="D29" s="32"/>
      <c r="E29" s="32"/>
      <c r="F29" s="24"/>
      <c r="G29" s="51"/>
      <c r="H29" s="32"/>
      <c r="I29" s="16"/>
      <c r="J29" s="16"/>
      <c r="K29" s="24"/>
      <c r="L29" s="16"/>
      <c r="M29" s="16"/>
      <c r="N29" s="16"/>
      <c r="O29" s="16"/>
      <c r="P29" s="136"/>
      <c r="Q29" s="16"/>
      <c r="R29" s="16"/>
      <c r="S29" s="16"/>
      <c r="T29" s="16" t="s">
        <v>138</v>
      </c>
      <c r="U29" s="136"/>
      <c r="V29" s="16"/>
      <c r="W29" s="16"/>
      <c r="X29" s="16"/>
      <c r="Y29" s="16" t="s">
        <v>138</v>
      </c>
      <c r="Z29" s="136"/>
    </row>
    <row r="30" spans="1:28" s="11" customFormat="1" ht="20.100000000000001" customHeight="1">
      <c r="A30" s="20" t="s">
        <v>0</v>
      </c>
      <c r="B30" s="22">
        <f t="shared" ref="B30:N30" si="41">B19-B12</f>
        <v>257.40000000000003</v>
      </c>
      <c r="C30" s="22">
        <f t="shared" si="41"/>
        <v>269.7</v>
      </c>
      <c r="D30" s="22">
        <f t="shared" si="41"/>
        <v>257.8</v>
      </c>
      <c r="E30" s="22">
        <f t="shared" si="41"/>
        <v>247.20000000000016</v>
      </c>
      <c r="F30" s="31">
        <f t="shared" si="41"/>
        <v>1032.0999999999992</v>
      </c>
      <c r="G30" s="129">
        <f t="shared" si="41"/>
        <v>245.37999999999994</v>
      </c>
      <c r="H30" s="22">
        <f t="shared" si="41"/>
        <v>257.3</v>
      </c>
      <c r="I30" s="22">
        <f t="shared" si="41"/>
        <v>268.2</v>
      </c>
      <c r="J30" s="22">
        <f t="shared" si="41"/>
        <v>275.39999999999986</v>
      </c>
      <c r="K30" s="31">
        <f t="shared" si="41"/>
        <v>1046.2799999999997</v>
      </c>
      <c r="L30" s="129">
        <f t="shared" si="41"/>
        <v>281.7999999999999</v>
      </c>
      <c r="M30" s="22">
        <f t="shared" si="41"/>
        <v>708.90000000000009</v>
      </c>
      <c r="N30" s="22">
        <f t="shared" si="41"/>
        <v>910.09999999999991</v>
      </c>
      <c r="O30" s="22">
        <f t="shared" ref="O30" si="42">O19-O12</f>
        <v>837.3000000000003</v>
      </c>
      <c r="P30" s="31">
        <f t="shared" ref="P30:Q30" si="43">P19-P12</f>
        <v>2738.0999999999985</v>
      </c>
      <c r="Q30" s="20">
        <f t="shared" si="43"/>
        <v>896.60000000000014</v>
      </c>
      <c r="R30" s="131">
        <f t="shared" ref="R30:V30" si="44">R19-R12</f>
        <v>977</v>
      </c>
      <c r="S30" s="22">
        <f t="shared" si="44"/>
        <v>930.39999999999964</v>
      </c>
      <c r="T30" s="22">
        <f t="shared" si="44"/>
        <v>881.10000000000036</v>
      </c>
      <c r="U30" s="145">
        <f t="shared" si="44"/>
        <v>3685.0999999999995</v>
      </c>
      <c r="V30" s="20">
        <f t="shared" si="44"/>
        <v>846.5</v>
      </c>
      <c r="W30" s="131">
        <f t="shared" ref="W30:Z30" si="45">W19-W12</f>
        <v>935.00000000000034</v>
      </c>
      <c r="X30" s="131">
        <f t="shared" si="45"/>
        <v>957.00000000000011</v>
      </c>
      <c r="Y30" s="22">
        <f t="shared" si="45"/>
        <v>902.3</v>
      </c>
      <c r="Z30" s="145">
        <f t="shared" si="45"/>
        <v>3640.8</v>
      </c>
      <c r="AA30" s="52"/>
      <c r="AB30" s="52"/>
    </row>
    <row r="31" spans="1:28" s="11" customFormat="1" ht="20.100000000000001" customHeight="1" thickBot="1">
      <c r="A31" s="21" t="s">
        <v>137</v>
      </c>
      <c r="B31" s="28">
        <f t="shared" ref="B31:N31" si="46">B30/B4</f>
        <v>0.38463837417812313</v>
      </c>
      <c r="C31" s="28">
        <f t="shared" si="46"/>
        <v>0.377836929111796</v>
      </c>
      <c r="D31" s="28">
        <f t="shared" si="46"/>
        <v>0.4</v>
      </c>
      <c r="E31" s="28">
        <f t="shared" si="46"/>
        <v>0.32933653077537983</v>
      </c>
      <c r="F31" s="29">
        <f t="shared" si="46"/>
        <v>0.37151290450307745</v>
      </c>
      <c r="G31" s="27">
        <f t="shared" si="46"/>
        <v>0.35200114761153339</v>
      </c>
      <c r="H31" s="28">
        <f t="shared" si="46"/>
        <v>0.34963989672509854</v>
      </c>
      <c r="I31" s="28">
        <f t="shared" si="46"/>
        <v>0.39598405433338257</v>
      </c>
      <c r="J31" s="28">
        <f t="shared" si="46"/>
        <v>0.34403497813866318</v>
      </c>
      <c r="K31" s="30">
        <f t="shared" si="46"/>
        <v>0.3594475745499518</v>
      </c>
      <c r="L31" s="27">
        <f t="shared" si="46"/>
        <v>0.38960320752108385</v>
      </c>
      <c r="M31" s="28">
        <f t="shared" si="46"/>
        <v>0.40603700097370987</v>
      </c>
      <c r="N31" s="28">
        <f t="shared" si="46"/>
        <v>0.37613655149611502</v>
      </c>
      <c r="O31" s="28">
        <f t="shared" ref="O31" si="47">O30/O4</f>
        <v>0.33211693308476464</v>
      </c>
      <c r="P31" s="29">
        <f t="shared" ref="P31:Q31" si="48">P30/P4</f>
        <v>0.36951915680373537</v>
      </c>
      <c r="Q31" s="28">
        <f t="shared" si="48"/>
        <v>0.38497209102619157</v>
      </c>
      <c r="R31" s="28">
        <f t="shared" ref="R31:V31" si="49">R30/R4</f>
        <v>0.39567471245747615</v>
      </c>
      <c r="S31" s="28">
        <f t="shared" si="49"/>
        <v>0.3852747525777464</v>
      </c>
      <c r="T31" s="137">
        <f t="shared" si="49"/>
        <v>0.33759914172956829</v>
      </c>
      <c r="U31" s="138">
        <f t="shared" si="49"/>
        <v>0.37515015779293487</v>
      </c>
      <c r="V31" s="28">
        <f t="shared" si="49"/>
        <v>0.35807952622673433</v>
      </c>
      <c r="W31" s="28">
        <f t="shared" ref="W31:Z31" si="50">W30/W4</f>
        <v>0.38274182324286721</v>
      </c>
      <c r="X31" s="28">
        <f t="shared" si="50"/>
        <v>0.40078733562274899</v>
      </c>
      <c r="Y31" s="137">
        <f t="shared" si="50"/>
        <v>0.35592284328034396</v>
      </c>
      <c r="Z31" s="138">
        <f t="shared" si="50"/>
        <v>0.37419063084544396</v>
      </c>
      <c r="AA31" s="52"/>
      <c r="AB31" s="52"/>
    </row>
    <row r="32" spans="1:28" s="18" customFormat="1" ht="15" customHeight="1">
      <c r="B32" s="15"/>
      <c r="C32" s="15"/>
      <c r="D32" s="15"/>
      <c r="E32" s="15"/>
      <c r="F32" s="15"/>
      <c r="G32" s="15"/>
      <c r="H32" s="16"/>
      <c r="I32" s="17"/>
      <c r="J32" s="17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18" customFormat="1" ht="15" customHeight="1">
      <c r="A33" s="328" t="s">
        <v>143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</row>
    <row r="34" spans="1:26" s="18" customFormat="1" ht="15" customHeight="1">
      <c r="A34" s="328"/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</row>
    <row r="35" spans="1:26" s="18" customFormat="1" ht="15" customHeight="1">
      <c r="A35" s="15"/>
      <c r="B35" s="15"/>
      <c r="C35" s="15"/>
      <c r="D35" s="15"/>
      <c r="E35" s="15"/>
      <c r="F35" s="15"/>
      <c r="G35" s="15"/>
      <c r="H35" s="16"/>
      <c r="I35" s="17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18" customFormat="1" ht="15" customHeight="1">
      <c r="A36" s="328"/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</row>
    <row r="37" spans="1:26" s="18" customFormat="1" ht="15" customHeight="1">
      <c r="A37" s="15"/>
      <c r="B37" s="15"/>
      <c r="C37" s="15"/>
      <c r="D37" s="15"/>
      <c r="E37" s="15"/>
      <c r="F37" s="15"/>
      <c r="G37" s="15"/>
      <c r="H37" s="16"/>
      <c r="I37" s="17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18" customFormat="1" ht="15" customHeight="1">
      <c r="A38" s="328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</row>
    <row r="39" spans="1:26" s="18" customFormat="1" ht="15" customHeight="1">
      <c r="B39" s="15"/>
      <c r="C39" s="15"/>
      <c r="D39" s="15"/>
      <c r="E39" s="15"/>
      <c r="F39" s="15"/>
      <c r="G39" s="15"/>
      <c r="H39" s="16"/>
      <c r="I39" s="17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28.5" customHeight="1">
      <c r="B40" s="15"/>
      <c r="C40" s="15"/>
      <c r="D40" s="15"/>
      <c r="E40" s="15"/>
      <c r="F40" s="15"/>
      <c r="G40" s="15"/>
      <c r="H40" s="16"/>
      <c r="I40" s="17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18" customFormat="1" ht="28.5" customHeight="1">
      <c r="B41" s="15"/>
      <c r="C41" s="15"/>
      <c r="D41" s="15"/>
      <c r="E41" s="15"/>
      <c r="F41" s="15"/>
      <c r="G41" s="15"/>
      <c r="H41" s="16"/>
      <c r="I41" s="17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18" customFormat="1" ht="28.5" customHeight="1">
      <c r="B42" s="15"/>
      <c r="C42" s="15"/>
      <c r="D42" s="15"/>
      <c r="E42" s="15"/>
      <c r="F42" s="15"/>
      <c r="G42" s="15"/>
      <c r="H42" s="16"/>
      <c r="I42" s="17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18" customFormat="1" ht="28.5" customHeight="1">
      <c r="B43" s="15"/>
      <c r="C43" s="15"/>
      <c r="D43" s="15"/>
      <c r="E43" s="15"/>
      <c r="F43" s="15"/>
      <c r="G43" s="15"/>
      <c r="H43" s="16"/>
      <c r="I43" s="17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18" customFormat="1" ht="28.5" customHeight="1">
      <c r="B44" s="15"/>
      <c r="C44" s="15"/>
      <c r="D44" s="15"/>
      <c r="E44" s="15"/>
      <c r="F44" s="15"/>
      <c r="G44" s="15"/>
      <c r="H44" s="16"/>
      <c r="I44" s="17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18" customFormat="1" ht="28.5" customHeight="1">
      <c r="B45" s="15"/>
      <c r="C45" s="15"/>
      <c r="D45" s="15"/>
      <c r="E45" s="15"/>
      <c r="F45" s="15"/>
      <c r="G45" s="15"/>
      <c r="H45" s="16"/>
      <c r="I45" s="17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18" customFormat="1" ht="28.5" customHeight="1">
      <c r="B46" s="15"/>
      <c r="C46" s="15"/>
      <c r="D46" s="15"/>
      <c r="E46" s="15"/>
      <c r="F46" s="15"/>
      <c r="G46" s="15"/>
      <c r="H46" s="16"/>
      <c r="I46" s="17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s="18" customFormat="1" ht="28.5" customHeight="1">
      <c r="B47" s="15"/>
      <c r="C47" s="15"/>
      <c r="D47" s="15"/>
      <c r="E47" s="15"/>
      <c r="F47" s="15"/>
      <c r="G47" s="15"/>
      <c r="H47" s="16"/>
      <c r="I47" s="17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s="18" customFormat="1" ht="28.5" customHeight="1">
      <c r="B48" s="15"/>
      <c r="C48" s="15"/>
      <c r="D48" s="15"/>
      <c r="E48" s="15"/>
      <c r="F48" s="15"/>
      <c r="G48" s="15"/>
      <c r="H48" s="16"/>
      <c r="I48" s="17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9" ht="28.5" customHeight="1">
      <c r="A49" s="7"/>
      <c r="B49" s="12"/>
      <c r="C49" s="12"/>
      <c r="D49" s="12"/>
      <c r="E49" s="12"/>
      <c r="F49" s="12"/>
      <c r="G49" s="12"/>
      <c r="H49" s="13"/>
      <c r="I49" s="14"/>
    </row>
  </sheetData>
  <mergeCells count="9">
    <mergeCell ref="V2:Z2"/>
    <mergeCell ref="Q2:U2"/>
    <mergeCell ref="A34:M34"/>
    <mergeCell ref="A36:M36"/>
    <mergeCell ref="A38:M38"/>
    <mergeCell ref="L2:P2"/>
    <mergeCell ref="G2:K2"/>
    <mergeCell ref="B2:F2"/>
    <mergeCell ref="A33:M3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ignoredErrors>
    <ignoredError sqref="K23 F9 K9 F19 K19 F23 P19 P23 P9 U19 U23 P28 Z9 Z19 Z23 Z25 Y28" formula="1"/>
    <ignoredError sqref="B9:E9 G9:J9 L9:O9 Q9:T9 V9:Y9 Z5:Z8 Z10:Z17 Z18" formulaRange="1"/>
    <ignoredError sqref="U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P198"/>
  <sheetViews>
    <sheetView showGridLines="0" zoomScaleNormal="100" zoomScaleSheetLayoutView="100" workbookViewId="0">
      <selection activeCell="B12" sqref="B12"/>
    </sheetView>
  </sheetViews>
  <sheetFormatPr defaultRowHeight="14.25"/>
  <cols>
    <col min="1" max="1" width="1.625" customWidth="1"/>
    <col min="2" max="2" width="31.125" customWidth="1"/>
    <col min="3" max="3" width="16.125" customWidth="1"/>
    <col min="4" max="4" width="1.875" customWidth="1"/>
    <col min="5" max="5" width="16.125" customWidth="1"/>
    <col min="6" max="6" width="1.625" customWidth="1"/>
    <col min="7" max="7" width="9.625" customWidth="1"/>
    <col min="8" max="8" width="16.125" customWidth="1"/>
    <col min="9" max="9" width="1.875" customWidth="1"/>
    <col min="10" max="10" width="16.125" customWidth="1"/>
    <col min="11" max="11" width="1.875" customWidth="1"/>
    <col min="12" max="12" width="10" customWidth="1"/>
    <col min="13" max="13" width="16.125" customWidth="1"/>
    <col min="14" max="14" width="1.875" customWidth="1"/>
    <col min="15" max="15" width="16.125" customWidth="1"/>
    <col min="16" max="16" width="1.875" customWidth="1"/>
    <col min="17" max="17" width="9.625" customWidth="1"/>
    <col min="18" max="19" width="16.125" customWidth="1"/>
    <col min="20" max="20" width="9.625" customWidth="1"/>
    <col min="21" max="276" width="9" style="53"/>
  </cols>
  <sheetData>
    <row r="1" spans="2:276" ht="50.25" customHeight="1" thickBot="1">
      <c r="B1" s="1" t="s">
        <v>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2:276" s="56" customFormat="1" ht="30" customHeight="1" thickBot="1">
      <c r="B2" s="337" t="s">
        <v>8</v>
      </c>
      <c r="C2" s="331" t="s">
        <v>31</v>
      </c>
      <c r="D2" s="332"/>
      <c r="E2" s="332"/>
      <c r="F2" s="332"/>
      <c r="G2" s="333"/>
      <c r="H2" s="331" t="s">
        <v>32</v>
      </c>
      <c r="I2" s="332"/>
      <c r="J2" s="332"/>
      <c r="K2" s="332"/>
      <c r="L2" s="333"/>
      <c r="M2" s="331" t="s">
        <v>33</v>
      </c>
      <c r="N2" s="332"/>
      <c r="O2" s="332"/>
      <c r="P2" s="332"/>
      <c r="Q2" s="333"/>
      <c r="R2" s="331" t="s">
        <v>34</v>
      </c>
      <c r="S2" s="332"/>
      <c r="T2" s="333"/>
      <c r="U2" s="54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  <c r="IW2" s="55"/>
      <c r="IX2" s="55"/>
      <c r="IY2" s="55"/>
      <c r="IZ2" s="55"/>
      <c r="JA2" s="55"/>
      <c r="JB2" s="55"/>
      <c r="JC2" s="55"/>
      <c r="JD2" s="55"/>
      <c r="JE2" s="55"/>
      <c r="JF2" s="55"/>
      <c r="JG2" s="55"/>
      <c r="JH2" s="55"/>
      <c r="JI2" s="55"/>
      <c r="JJ2" s="55"/>
      <c r="JK2" s="55"/>
      <c r="JL2" s="55"/>
      <c r="JM2" s="55"/>
      <c r="JN2" s="55"/>
      <c r="JO2" s="55"/>
      <c r="JP2" s="55"/>
    </row>
    <row r="3" spans="2:276" s="56" customFormat="1" ht="20.25" customHeight="1" thickBot="1">
      <c r="B3" s="338"/>
      <c r="C3" s="334" t="s">
        <v>167</v>
      </c>
      <c r="D3" s="335"/>
      <c r="E3" s="335"/>
      <c r="F3" s="335"/>
      <c r="G3" s="336"/>
      <c r="H3" s="334" t="s">
        <v>167</v>
      </c>
      <c r="I3" s="335"/>
      <c r="J3" s="335"/>
      <c r="K3" s="335"/>
      <c r="L3" s="336"/>
      <c r="M3" s="334" t="s">
        <v>167</v>
      </c>
      <c r="N3" s="335"/>
      <c r="O3" s="335"/>
      <c r="P3" s="335"/>
      <c r="Q3" s="336"/>
      <c r="R3" s="334" t="s">
        <v>167</v>
      </c>
      <c r="S3" s="335"/>
      <c r="T3" s="336"/>
      <c r="U3" s="54"/>
      <c r="V3" s="57"/>
      <c r="W3" s="57"/>
      <c r="X3" s="57"/>
      <c r="Y3" s="57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  <c r="IW3" s="55"/>
      <c r="IX3" s="55"/>
      <c r="IY3" s="55"/>
      <c r="IZ3" s="55"/>
      <c r="JA3" s="55"/>
      <c r="JB3" s="55"/>
      <c r="JC3" s="55"/>
      <c r="JD3" s="55"/>
      <c r="JE3" s="55"/>
      <c r="JF3" s="55"/>
      <c r="JG3" s="55"/>
      <c r="JH3" s="55"/>
      <c r="JI3" s="55"/>
      <c r="JJ3" s="55"/>
      <c r="JK3" s="55"/>
      <c r="JL3" s="55"/>
      <c r="JM3" s="55"/>
      <c r="JN3" s="55"/>
      <c r="JO3" s="55"/>
      <c r="JP3" s="55"/>
    </row>
    <row r="4" spans="2:276" s="63" customFormat="1" ht="20.25" customHeight="1" thickBot="1">
      <c r="B4" s="339"/>
      <c r="C4" s="100" t="s">
        <v>168</v>
      </c>
      <c r="D4" s="58"/>
      <c r="E4" s="101" t="s">
        <v>169</v>
      </c>
      <c r="F4" s="59"/>
      <c r="G4" s="60" t="s">
        <v>35</v>
      </c>
      <c r="H4" s="100" t="s">
        <v>168</v>
      </c>
      <c r="I4" s="58"/>
      <c r="J4" s="101" t="s">
        <v>169</v>
      </c>
      <c r="K4" s="59"/>
      <c r="L4" s="60" t="s">
        <v>35</v>
      </c>
      <c r="M4" s="100" t="s">
        <v>168</v>
      </c>
      <c r="N4" s="58"/>
      <c r="O4" s="101" t="s">
        <v>169</v>
      </c>
      <c r="P4" s="59"/>
      <c r="Q4" s="60" t="s">
        <v>35</v>
      </c>
      <c r="R4" s="100" t="s">
        <v>168</v>
      </c>
      <c r="S4" s="101" t="s">
        <v>169</v>
      </c>
      <c r="T4" s="60" t="s">
        <v>35</v>
      </c>
      <c r="U4" s="61"/>
      <c r="V4" s="61"/>
      <c r="W4" s="61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  <c r="IW4" s="62"/>
      <c r="IX4" s="62"/>
      <c r="IY4" s="62"/>
      <c r="IZ4" s="62"/>
      <c r="JA4" s="62"/>
      <c r="JB4" s="62"/>
      <c r="JC4" s="62"/>
      <c r="JD4" s="62"/>
      <c r="JE4" s="62"/>
      <c r="JF4" s="62"/>
      <c r="JG4" s="62"/>
      <c r="JH4" s="62"/>
      <c r="JI4" s="62"/>
      <c r="JJ4" s="62"/>
      <c r="JK4" s="62"/>
      <c r="JL4" s="62"/>
      <c r="JM4" s="62"/>
      <c r="JN4" s="62"/>
      <c r="JO4" s="62"/>
      <c r="JP4" s="62"/>
    </row>
    <row r="5" spans="2:276" s="56" customFormat="1" ht="20.25" customHeight="1">
      <c r="B5" s="66" t="s">
        <v>36</v>
      </c>
      <c r="C5" s="261">
        <v>8440.4</v>
      </c>
      <c r="D5" s="262"/>
      <c r="E5" s="263">
        <v>8675.5</v>
      </c>
      <c r="F5" s="204"/>
      <c r="G5" s="205">
        <f>C5-E5</f>
        <v>-235.10000000000036</v>
      </c>
      <c r="H5" s="201">
        <v>1289.4000000000001</v>
      </c>
      <c r="I5" s="202"/>
      <c r="J5" s="204">
        <v>1147.5</v>
      </c>
      <c r="K5" s="204"/>
      <c r="L5" s="206">
        <f>H5-J5</f>
        <v>141.90000000000009</v>
      </c>
      <c r="M5" s="298">
        <v>0</v>
      </c>
      <c r="N5" s="299"/>
      <c r="O5" s="300">
        <v>0</v>
      </c>
      <c r="P5" s="209"/>
      <c r="Q5" s="210">
        <f>M5-O5</f>
        <v>0</v>
      </c>
      <c r="R5" s="211">
        <f>C5+H5+M5</f>
        <v>9729.7999999999993</v>
      </c>
      <c r="S5" s="212">
        <f>E5+J5+O5</f>
        <v>9823</v>
      </c>
      <c r="T5" s="213">
        <f>R5-S5</f>
        <v>-93.200000000000728</v>
      </c>
      <c r="U5" s="54"/>
      <c r="V5" s="65"/>
      <c r="W5" s="65"/>
      <c r="X5" s="65"/>
      <c r="Y5" s="57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</row>
    <row r="6" spans="2:276" s="56" customFormat="1" ht="20.25" customHeight="1">
      <c r="B6" s="66" t="s">
        <v>37</v>
      </c>
      <c r="C6" s="264">
        <v>35.4</v>
      </c>
      <c r="D6" s="265"/>
      <c r="E6" s="266">
        <v>33.700000000000003</v>
      </c>
      <c r="F6" s="203"/>
      <c r="G6" s="216">
        <f t="shared" ref="G6:G14" si="0">C6-E6</f>
        <v>1.6999999999999957</v>
      </c>
      <c r="H6" s="214">
        <v>194.6</v>
      </c>
      <c r="I6" s="215"/>
      <c r="J6" s="203">
        <v>152.4</v>
      </c>
      <c r="K6" s="203"/>
      <c r="L6" s="217">
        <f t="shared" ref="L6:L11" si="1">H6-J6</f>
        <v>42.199999999999989</v>
      </c>
      <c r="M6" s="301">
        <v>-230</v>
      </c>
      <c r="N6" s="302"/>
      <c r="O6" s="303">
        <v>-186.1</v>
      </c>
      <c r="P6" s="203"/>
      <c r="Q6" s="210">
        <f t="shared" ref="Q6:Q14" si="2">M6-O6</f>
        <v>-43.900000000000006</v>
      </c>
      <c r="R6" s="218">
        <f t="shared" ref="R6:R14" si="3">C6+H6+M6</f>
        <v>0</v>
      </c>
      <c r="S6" s="209">
        <f t="shared" ref="S6:S11" si="4">E6+J6+O6</f>
        <v>0</v>
      </c>
      <c r="T6" s="210">
        <f t="shared" ref="T6:T11" si="5">R6-S6</f>
        <v>0</v>
      </c>
      <c r="U6" s="54"/>
      <c r="V6" s="64"/>
      <c r="W6" s="64"/>
      <c r="X6" s="64"/>
      <c r="Y6" s="57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</row>
    <row r="7" spans="2:276" s="56" customFormat="1" ht="20.25" customHeight="1">
      <c r="B7" s="67" t="s">
        <v>38</v>
      </c>
      <c r="C7" s="219">
        <f>C5+C6</f>
        <v>8475.7999999999993</v>
      </c>
      <c r="D7" s="220"/>
      <c r="E7" s="221">
        <f>E5+E6</f>
        <v>8709.2000000000007</v>
      </c>
      <c r="F7" s="221"/>
      <c r="G7" s="222">
        <f>C7-E7</f>
        <v>-233.40000000000146</v>
      </c>
      <c r="H7" s="219">
        <f>H5+H6</f>
        <v>1484</v>
      </c>
      <c r="I7" s="220"/>
      <c r="J7" s="221">
        <f>J5+J6</f>
        <v>1299.9000000000001</v>
      </c>
      <c r="K7" s="221"/>
      <c r="L7" s="223">
        <f t="shared" si="1"/>
        <v>184.09999999999991</v>
      </c>
      <c r="M7" s="219">
        <f>M5+M6</f>
        <v>-230</v>
      </c>
      <c r="N7" s="220"/>
      <c r="O7" s="221">
        <f>O5+O6</f>
        <v>-186.1</v>
      </c>
      <c r="P7" s="221"/>
      <c r="Q7" s="224">
        <f t="shared" si="2"/>
        <v>-43.900000000000006</v>
      </c>
      <c r="R7" s="225">
        <f t="shared" si="3"/>
        <v>9729.7999999999993</v>
      </c>
      <c r="S7" s="226">
        <f t="shared" si="4"/>
        <v>9823</v>
      </c>
      <c r="T7" s="224">
        <f t="shared" si="5"/>
        <v>-93.200000000000728</v>
      </c>
      <c r="U7" s="54"/>
      <c r="V7" s="68"/>
      <c r="W7" s="68"/>
      <c r="X7" s="68"/>
      <c r="Y7" s="57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</row>
    <row r="8" spans="2:276" s="56" customFormat="1" ht="20.25" customHeight="1">
      <c r="B8" s="67" t="s">
        <v>147</v>
      </c>
      <c r="C8" s="219">
        <v>3077.4</v>
      </c>
      <c r="D8" s="220"/>
      <c r="E8" s="221">
        <v>3240</v>
      </c>
      <c r="F8" s="221"/>
      <c r="G8" s="222">
        <f t="shared" si="0"/>
        <v>-162.59999999999991</v>
      </c>
      <c r="H8" s="219">
        <v>563.4</v>
      </c>
      <c r="I8" s="220"/>
      <c r="J8" s="221">
        <v>445.1</v>
      </c>
      <c r="K8" s="221"/>
      <c r="L8" s="223">
        <f t="shared" si="1"/>
        <v>118.29999999999995</v>
      </c>
      <c r="M8" s="218">
        <v>0</v>
      </c>
      <c r="N8" s="225"/>
      <c r="O8" s="226">
        <v>0</v>
      </c>
      <c r="P8" s="221"/>
      <c r="Q8" s="224">
        <f t="shared" si="2"/>
        <v>0</v>
      </c>
      <c r="R8" s="225">
        <f>C8+H8+M8</f>
        <v>3640.8</v>
      </c>
      <c r="S8" s="226">
        <f t="shared" si="4"/>
        <v>3685.1</v>
      </c>
      <c r="T8" s="224">
        <f t="shared" si="5"/>
        <v>-44.299999999999727</v>
      </c>
      <c r="U8" s="54"/>
      <c r="V8" s="68"/>
      <c r="W8" s="68"/>
      <c r="X8" s="68"/>
      <c r="Y8" s="57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</row>
    <row r="9" spans="2:276" s="56" customFormat="1" ht="32.25" customHeight="1">
      <c r="B9" s="66" t="s">
        <v>17</v>
      </c>
      <c r="C9" s="264">
        <v>1929.6</v>
      </c>
      <c r="D9" s="220"/>
      <c r="E9" s="266">
        <v>1660.5</v>
      </c>
      <c r="F9" s="221"/>
      <c r="G9" s="216">
        <f t="shared" si="0"/>
        <v>269.09999999999991</v>
      </c>
      <c r="H9" s="214">
        <v>41.9</v>
      </c>
      <c r="I9" s="215"/>
      <c r="J9" s="203">
        <v>38.799999999999997</v>
      </c>
      <c r="K9" s="203"/>
      <c r="L9" s="217">
        <f t="shared" si="1"/>
        <v>3.1000000000000014</v>
      </c>
      <c r="M9" s="298">
        <v>0</v>
      </c>
      <c r="N9" s="299"/>
      <c r="O9" s="300">
        <v>0</v>
      </c>
      <c r="P9" s="203"/>
      <c r="Q9" s="210">
        <f t="shared" si="2"/>
        <v>0</v>
      </c>
      <c r="R9" s="208">
        <f>C9+H9+M9</f>
        <v>1971.5</v>
      </c>
      <c r="S9" s="209">
        <f t="shared" si="4"/>
        <v>1699.3</v>
      </c>
      <c r="T9" s="210">
        <f t="shared" si="5"/>
        <v>272.20000000000005</v>
      </c>
      <c r="U9" s="54"/>
      <c r="V9" s="68"/>
      <c r="W9" s="68"/>
      <c r="X9" s="68"/>
      <c r="Y9" s="57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  <c r="IW9" s="55"/>
      <c r="IX9" s="55"/>
      <c r="IY9" s="55"/>
      <c r="IZ9" s="55"/>
      <c r="JA9" s="55"/>
      <c r="JB9" s="55"/>
      <c r="JC9" s="55"/>
      <c r="JD9" s="55"/>
      <c r="JE9" s="55"/>
      <c r="JF9" s="55"/>
      <c r="JG9" s="55"/>
      <c r="JH9" s="55"/>
      <c r="JI9" s="55"/>
      <c r="JJ9" s="55"/>
      <c r="JK9" s="55"/>
      <c r="JL9" s="55"/>
      <c r="JM9" s="55"/>
      <c r="JN9" s="55"/>
      <c r="JO9" s="55"/>
      <c r="JP9" s="55"/>
    </row>
    <row r="10" spans="2:276" s="56" customFormat="1" ht="20.25" customHeight="1" thickBot="1">
      <c r="B10" s="67" t="s">
        <v>39</v>
      </c>
      <c r="C10" s="227">
        <f>C8-C9</f>
        <v>1147.8000000000002</v>
      </c>
      <c r="D10" s="228"/>
      <c r="E10" s="229">
        <f>E8-E9</f>
        <v>1579.5</v>
      </c>
      <c r="F10" s="221"/>
      <c r="G10" s="222">
        <f t="shared" si="0"/>
        <v>-431.69999999999982</v>
      </c>
      <c r="H10" s="227">
        <f>H8-H9</f>
        <v>521.5</v>
      </c>
      <c r="I10" s="228"/>
      <c r="J10" s="229">
        <f>J8-J9</f>
        <v>406.3</v>
      </c>
      <c r="K10" s="221"/>
      <c r="L10" s="223">
        <f t="shared" si="1"/>
        <v>115.19999999999999</v>
      </c>
      <c r="M10" s="218">
        <f>M8-M9</f>
        <v>0</v>
      </c>
      <c r="N10" s="225"/>
      <c r="O10" s="226">
        <f>O8-O9</f>
        <v>0</v>
      </c>
      <c r="P10" s="221"/>
      <c r="Q10" s="224">
        <f t="shared" si="2"/>
        <v>0</v>
      </c>
      <c r="R10" s="225">
        <f t="shared" si="3"/>
        <v>1669.3000000000002</v>
      </c>
      <c r="S10" s="226">
        <f t="shared" si="4"/>
        <v>1985.8</v>
      </c>
      <c r="T10" s="224">
        <f t="shared" si="5"/>
        <v>-316.49999999999977</v>
      </c>
      <c r="U10" s="54"/>
      <c r="V10" s="68"/>
      <c r="W10" s="68"/>
      <c r="X10" s="68"/>
      <c r="Y10" s="57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</row>
    <row r="11" spans="2:276" s="56" customFormat="1" ht="48" customHeight="1" thickBot="1">
      <c r="B11" s="96" t="s">
        <v>40</v>
      </c>
      <c r="C11" s="267">
        <v>717.2</v>
      </c>
      <c r="D11" s="260">
        <v>1</v>
      </c>
      <c r="E11" s="268">
        <v>688.3</v>
      </c>
      <c r="F11" s="259">
        <v>1</v>
      </c>
      <c r="G11" s="232">
        <f t="shared" si="0"/>
        <v>28.900000000000091</v>
      </c>
      <c r="H11" s="230">
        <v>27.7</v>
      </c>
      <c r="I11" s="233"/>
      <c r="J11" s="231">
        <v>31.9</v>
      </c>
      <c r="K11" s="231"/>
      <c r="L11" s="234">
        <f t="shared" si="1"/>
        <v>-4.1999999999999993</v>
      </c>
      <c r="M11" s="304">
        <v>0</v>
      </c>
      <c r="N11" s="305"/>
      <c r="O11" s="306">
        <v>0</v>
      </c>
      <c r="P11" s="237"/>
      <c r="Q11" s="238">
        <f t="shared" si="2"/>
        <v>0</v>
      </c>
      <c r="R11" s="235">
        <f t="shared" si="3"/>
        <v>744.90000000000009</v>
      </c>
      <c r="S11" s="236">
        <f t="shared" si="4"/>
        <v>720.19999999999993</v>
      </c>
      <c r="T11" s="239">
        <f t="shared" si="5"/>
        <v>24.700000000000159</v>
      </c>
      <c r="U11" s="54"/>
      <c r="V11" s="68"/>
      <c r="W11" s="68"/>
      <c r="X11" s="68"/>
      <c r="Y11" s="57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</row>
    <row r="12" spans="2:276" s="56" customFormat="1" ht="20.25" customHeight="1">
      <c r="B12" s="102" t="s">
        <v>170</v>
      </c>
      <c r="C12" s="240"/>
      <c r="D12" s="241"/>
      <c r="E12" s="242"/>
      <c r="F12" s="242"/>
      <c r="G12" s="243"/>
      <c r="H12" s="241"/>
      <c r="I12" s="241"/>
      <c r="J12" s="242"/>
      <c r="K12" s="242"/>
      <c r="L12" s="244"/>
      <c r="M12" s="240"/>
      <c r="N12" s="241"/>
      <c r="O12" s="242"/>
      <c r="P12" s="242"/>
      <c r="Q12" s="213">
        <f t="shared" si="2"/>
        <v>0</v>
      </c>
      <c r="R12" s="241"/>
      <c r="S12" s="242"/>
      <c r="T12" s="243"/>
      <c r="U12" s="54"/>
      <c r="V12" s="65"/>
      <c r="W12" s="65"/>
      <c r="X12" s="65"/>
      <c r="Y12" s="57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</row>
    <row r="13" spans="2:276" s="56" customFormat="1" ht="20.25" customHeight="1">
      <c r="B13" s="66" t="s">
        <v>41</v>
      </c>
      <c r="C13" s="264">
        <v>23324.5</v>
      </c>
      <c r="D13" s="245"/>
      <c r="E13" s="266">
        <v>22110.799999999999</v>
      </c>
      <c r="F13" s="246"/>
      <c r="G13" s="216">
        <f t="shared" si="0"/>
        <v>1213.7000000000007</v>
      </c>
      <c r="H13" s="214">
        <v>4459.8999999999996</v>
      </c>
      <c r="I13" s="258">
        <v>2</v>
      </c>
      <c r="J13" s="203">
        <v>4421.8</v>
      </c>
      <c r="K13" s="257">
        <v>2</v>
      </c>
      <c r="L13" s="216">
        <f t="shared" ref="L13" si="6">H13-J13</f>
        <v>38.099999999999454</v>
      </c>
      <c r="M13" s="301">
        <v>-55.1</v>
      </c>
      <c r="N13" s="247"/>
      <c r="O13" s="303">
        <v>-42.5</v>
      </c>
      <c r="P13" s="248"/>
      <c r="Q13" s="210">
        <f t="shared" si="2"/>
        <v>-12.600000000000001</v>
      </c>
      <c r="R13" s="207">
        <f>C13+H13+M13</f>
        <v>27729.300000000003</v>
      </c>
      <c r="S13" s="203">
        <f>J13+O13+E13</f>
        <v>26490.1</v>
      </c>
      <c r="T13" s="216">
        <f>R13-S13</f>
        <v>1239.2000000000044</v>
      </c>
      <c r="U13" s="54"/>
      <c r="V13" s="65"/>
      <c r="W13" s="65"/>
      <c r="X13" s="65"/>
      <c r="Y13" s="57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</row>
    <row r="14" spans="2:276" s="56" customFormat="1" ht="31.5" customHeight="1" thickBot="1">
      <c r="B14" s="89" t="s">
        <v>42</v>
      </c>
      <c r="C14" s="249">
        <v>0</v>
      </c>
      <c r="D14" s="250"/>
      <c r="E14" s="251"/>
      <c r="F14" s="251"/>
      <c r="G14" s="252">
        <f t="shared" si="0"/>
        <v>0</v>
      </c>
      <c r="H14" s="250">
        <v>5.9</v>
      </c>
      <c r="I14" s="250"/>
      <c r="J14" s="251">
        <v>5.9</v>
      </c>
      <c r="K14" s="315"/>
      <c r="L14" s="253">
        <f>H14-J14</f>
        <v>0</v>
      </c>
      <c r="M14" s="307">
        <v>0</v>
      </c>
      <c r="N14" s="308"/>
      <c r="O14" s="309">
        <v>0</v>
      </c>
      <c r="P14" s="251"/>
      <c r="Q14" s="254">
        <f t="shared" si="2"/>
        <v>0</v>
      </c>
      <c r="R14" s="255">
        <f t="shared" si="3"/>
        <v>5.9</v>
      </c>
      <c r="S14" s="256">
        <f>J14+O14+E14</f>
        <v>5.9</v>
      </c>
      <c r="T14" s="252">
        <f>R14-S14</f>
        <v>0</v>
      </c>
      <c r="U14" s="54"/>
      <c r="V14" s="65"/>
      <c r="W14" s="65"/>
      <c r="X14" s="65"/>
      <c r="Y14" s="57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  <c r="IW14" s="55"/>
      <c r="IX14" s="55"/>
      <c r="IY14" s="55"/>
      <c r="IZ14" s="55"/>
      <c r="JA14" s="55"/>
      <c r="JB14" s="55"/>
      <c r="JC14" s="55"/>
      <c r="JD14" s="55"/>
      <c r="JE14" s="55"/>
      <c r="JF14" s="55"/>
      <c r="JG14" s="55"/>
      <c r="JH14" s="55"/>
      <c r="JI14" s="55"/>
      <c r="JJ14" s="55"/>
      <c r="JK14" s="55"/>
      <c r="JL14" s="55"/>
      <c r="JM14" s="55"/>
      <c r="JN14" s="55"/>
      <c r="JO14" s="55"/>
      <c r="JP14" s="55"/>
    </row>
    <row r="15" spans="2:276" s="55" customFormat="1" ht="20.25" customHeight="1">
      <c r="B15" s="70"/>
      <c r="U15" s="54"/>
      <c r="V15" s="57"/>
      <c r="W15" s="57"/>
      <c r="X15" s="57"/>
      <c r="Y15" s="57"/>
    </row>
    <row r="16" spans="2:276" s="55" customFormat="1" ht="20.25" customHeight="1">
      <c r="B16" s="330" t="s">
        <v>43</v>
      </c>
      <c r="C16" s="330"/>
      <c r="D16" s="330"/>
      <c r="E16" s="330"/>
      <c r="F16" s="330"/>
      <c r="G16" s="330"/>
      <c r="H16" s="71"/>
      <c r="I16" s="71"/>
      <c r="J16" s="72"/>
      <c r="K16" s="72"/>
      <c r="L16" s="72"/>
      <c r="M16" s="71"/>
      <c r="N16" s="71"/>
      <c r="O16" s="71"/>
      <c r="P16" s="71"/>
      <c r="Q16" s="71"/>
      <c r="R16" s="71"/>
      <c r="S16" s="71"/>
      <c r="T16" s="71"/>
      <c r="U16" s="54"/>
      <c r="V16" s="57"/>
      <c r="W16" s="57"/>
      <c r="X16" s="57"/>
      <c r="Y16" s="57"/>
    </row>
    <row r="17" spans="2:25" s="53" customFormat="1" ht="15">
      <c r="B17" s="73" t="s">
        <v>148</v>
      </c>
      <c r="C17" s="73"/>
      <c r="D17" s="73"/>
      <c r="E17" s="73"/>
      <c r="F17" s="73"/>
      <c r="G17" s="73"/>
      <c r="H17" s="71"/>
      <c r="I17" s="71"/>
      <c r="J17" s="72"/>
      <c r="K17" s="72"/>
      <c r="L17" s="72"/>
      <c r="M17" s="71"/>
      <c r="N17" s="71"/>
      <c r="O17" s="71"/>
      <c r="P17" s="71"/>
      <c r="Q17" s="71"/>
      <c r="R17" s="71"/>
      <c r="S17" s="71"/>
      <c r="T17" s="71"/>
      <c r="U17" s="71"/>
    </row>
    <row r="18" spans="2:25" s="55" customFormat="1" ht="15" customHeight="1">
      <c r="B18" s="74"/>
      <c r="C18" s="74"/>
      <c r="D18" s="74"/>
      <c r="E18" s="74"/>
      <c r="F18" s="74"/>
      <c r="G18" s="74"/>
      <c r="H18" s="71"/>
      <c r="I18" s="71"/>
      <c r="J18" s="72"/>
      <c r="K18" s="72"/>
      <c r="L18" s="72"/>
      <c r="M18" s="71"/>
      <c r="N18" s="71"/>
      <c r="O18" s="71"/>
      <c r="P18" s="71"/>
      <c r="Q18" s="71"/>
      <c r="R18" s="71"/>
      <c r="S18" s="71"/>
      <c r="T18" s="71"/>
      <c r="U18" s="54"/>
      <c r="V18" s="57"/>
      <c r="W18" s="57"/>
      <c r="X18" s="57"/>
      <c r="Y18" s="57"/>
    </row>
    <row r="19" spans="2:25" s="53" customFormat="1" ht="15">
      <c r="B19" s="74"/>
      <c r="C19" s="73"/>
      <c r="D19" s="73"/>
      <c r="E19" s="73"/>
      <c r="F19" s="73"/>
      <c r="G19" s="73"/>
      <c r="H19" s="71"/>
      <c r="I19" s="71"/>
      <c r="J19" s="72"/>
      <c r="K19" s="72"/>
      <c r="L19" s="72"/>
      <c r="M19" s="71"/>
      <c r="N19" s="71"/>
      <c r="O19" s="71"/>
      <c r="P19" s="71"/>
      <c r="Q19" s="71"/>
      <c r="R19" s="71"/>
      <c r="S19" s="71"/>
      <c r="T19" s="71"/>
      <c r="U19" s="71"/>
    </row>
    <row r="20" spans="2:25" s="53" customFormat="1" ht="15">
      <c r="B20" s="73"/>
      <c r="G20" s="75"/>
      <c r="H20" s="71"/>
      <c r="I20" s="71"/>
      <c r="J20" s="75"/>
      <c r="K20" s="75"/>
      <c r="L20" s="75"/>
      <c r="M20" s="71"/>
      <c r="N20" s="71"/>
      <c r="O20" s="71"/>
      <c r="P20" s="71"/>
      <c r="Q20" s="71"/>
      <c r="R20" s="71"/>
      <c r="S20" s="71"/>
      <c r="T20" s="71"/>
      <c r="U20" s="71"/>
    </row>
    <row r="21" spans="2:25" s="53" customFormat="1" ht="15">
      <c r="G21" s="76"/>
      <c r="H21" s="71"/>
      <c r="I21" s="71"/>
      <c r="J21" s="76"/>
      <c r="K21" s="76"/>
      <c r="L21" s="76"/>
      <c r="M21" s="71"/>
      <c r="N21" s="71"/>
      <c r="O21" s="71"/>
      <c r="P21" s="71"/>
      <c r="Q21" s="71"/>
      <c r="R21" s="71"/>
      <c r="S21" s="71"/>
      <c r="T21" s="71"/>
      <c r="U21" s="71"/>
    </row>
    <row r="22" spans="2:25" s="53" customFormat="1" ht="15">
      <c r="G22" s="75"/>
      <c r="H22" s="71"/>
      <c r="I22" s="71"/>
      <c r="J22" s="75"/>
      <c r="K22" s="75"/>
      <c r="L22" s="75"/>
      <c r="M22" s="71"/>
      <c r="N22" s="71"/>
      <c r="O22" s="71"/>
      <c r="P22" s="71"/>
      <c r="Q22" s="71"/>
      <c r="R22" s="71"/>
      <c r="S22" s="71"/>
      <c r="T22" s="71"/>
      <c r="U22" s="71"/>
    </row>
    <row r="23" spans="2:25" s="53" customFormat="1" ht="1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2:25" s="53" customFormat="1" ht="15">
      <c r="U24" s="71"/>
    </row>
    <row r="25" spans="2:25" s="53" customFormat="1"/>
    <row r="26" spans="2:25" s="53" customFormat="1"/>
    <row r="27" spans="2:25" s="53" customFormat="1"/>
    <row r="28" spans="2:25" s="53" customFormat="1"/>
    <row r="29" spans="2:25" s="53" customFormat="1"/>
    <row r="30" spans="2:25" s="53" customFormat="1"/>
    <row r="31" spans="2:25" s="53" customFormat="1"/>
    <row r="32" spans="2:25" s="53" customFormat="1"/>
    <row r="33" s="53" customFormat="1"/>
    <row r="34" s="53" customFormat="1"/>
    <row r="35" s="53" customFormat="1"/>
    <row r="36" s="53" customFormat="1"/>
    <row r="37" s="53" customFormat="1"/>
    <row r="38" s="53" customFormat="1"/>
    <row r="39" s="53" customFormat="1"/>
    <row r="40" s="53" customFormat="1"/>
    <row r="41" s="53" customFormat="1"/>
    <row r="42" s="53" customFormat="1"/>
    <row r="43" s="53" customFormat="1"/>
    <row r="44" s="53" customFormat="1"/>
    <row r="45" s="53" customFormat="1"/>
    <row r="46" s="53" customFormat="1"/>
    <row r="47" s="53" customFormat="1"/>
    <row r="48" s="53" customFormat="1"/>
    <row r="49" s="53" customFormat="1"/>
    <row r="50" s="53" customFormat="1"/>
    <row r="51" s="53" customFormat="1"/>
    <row r="52" s="53" customFormat="1"/>
    <row r="53" s="53" customFormat="1"/>
    <row r="54" s="53" customFormat="1"/>
    <row r="55" s="53" customFormat="1"/>
    <row r="56" s="53" customFormat="1"/>
    <row r="57" s="53" customFormat="1"/>
    <row r="58" s="53" customFormat="1"/>
    <row r="59" s="53" customFormat="1"/>
    <row r="60" s="53" customFormat="1"/>
    <row r="61" s="53" customFormat="1"/>
    <row r="62" s="53" customFormat="1"/>
    <row r="63" s="53" customFormat="1"/>
    <row r="64" s="53" customFormat="1"/>
    <row r="65" s="53" customFormat="1"/>
    <row r="66" s="53" customFormat="1"/>
    <row r="67" s="53" customFormat="1"/>
    <row r="68" s="53" customFormat="1"/>
    <row r="69" s="53" customFormat="1"/>
    <row r="70" s="53" customFormat="1"/>
    <row r="71" s="53" customFormat="1"/>
    <row r="72" s="53" customFormat="1"/>
    <row r="73" s="53" customFormat="1"/>
    <row r="74" s="53" customFormat="1"/>
    <row r="75" s="53" customFormat="1"/>
    <row r="76" s="53" customFormat="1"/>
    <row r="77" s="53" customFormat="1"/>
    <row r="78" s="53" customFormat="1"/>
    <row r="79" s="53" customFormat="1"/>
    <row r="80" s="53" customFormat="1"/>
    <row r="81" s="53" customFormat="1"/>
    <row r="82" s="53" customFormat="1"/>
    <row r="83" s="53" customFormat="1"/>
    <row r="84" s="53" customFormat="1"/>
    <row r="85" s="53" customFormat="1"/>
    <row r="86" s="53" customFormat="1"/>
    <row r="87" s="53" customFormat="1"/>
    <row r="88" s="53" customFormat="1"/>
    <row r="89" s="53" customFormat="1"/>
    <row r="90" s="53" customFormat="1"/>
    <row r="91" s="53" customFormat="1"/>
    <row r="92" s="53" customFormat="1"/>
    <row r="93" s="53" customFormat="1"/>
    <row r="94" s="53" customFormat="1"/>
    <row r="95" s="53" customFormat="1"/>
    <row r="96" s="53" customFormat="1"/>
    <row r="97" s="53" customFormat="1"/>
    <row r="98" s="53" customFormat="1"/>
    <row r="99" s="53" customFormat="1"/>
    <row r="100" s="53" customFormat="1"/>
    <row r="101" s="53" customFormat="1"/>
    <row r="102" s="53" customFormat="1"/>
    <row r="103" s="53" customFormat="1"/>
    <row r="104" s="53" customFormat="1"/>
    <row r="105" s="53" customFormat="1"/>
    <row r="106" s="53" customFormat="1"/>
    <row r="107" s="53" customFormat="1"/>
    <row r="108" s="53" customFormat="1"/>
    <row r="109" s="53" customFormat="1"/>
    <row r="110" s="53" customFormat="1"/>
    <row r="111" s="53" customFormat="1"/>
    <row r="112" s="53" customFormat="1"/>
    <row r="113" s="53" customFormat="1"/>
    <row r="114" s="53" customFormat="1"/>
    <row r="115" s="53" customFormat="1"/>
    <row r="116" s="53" customFormat="1"/>
    <row r="117" s="53" customFormat="1"/>
    <row r="118" s="53" customFormat="1"/>
    <row r="119" s="53" customFormat="1"/>
    <row r="120" s="53" customFormat="1"/>
    <row r="121" s="53" customFormat="1"/>
    <row r="122" s="53" customFormat="1"/>
    <row r="123" s="53" customFormat="1"/>
    <row r="124" s="53" customFormat="1"/>
    <row r="125" s="53" customFormat="1"/>
    <row r="126" s="53" customFormat="1"/>
    <row r="127" s="53" customFormat="1"/>
    <row r="128" s="53" customFormat="1"/>
    <row r="129" s="53" customFormat="1"/>
    <row r="130" s="53" customFormat="1"/>
    <row r="131" s="53" customFormat="1"/>
    <row r="132" s="53" customFormat="1"/>
    <row r="133" s="53" customFormat="1"/>
    <row r="134" s="53" customFormat="1"/>
    <row r="135" s="53" customFormat="1"/>
    <row r="136" s="53" customFormat="1"/>
    <row r="137" s="53" customFormat="1"/>
    <row r="138" s="53" customFormat="1"/>
    <row r="139" s="53" customFormat="1"/>
    <row r="140" s="53" customFormat="1"/>
    <row r="141" s="53" customFormat="1"/>
    <row r="142" s="53" customFormat="1"/>
    <row r="143" s="53" customFormat="1"/>
    <row r="144" s="53" customFormat="1"/>
    <row r="145" s="53" customFormat="1"/>
    <row r="146" s="53" customFormat="1"/>
    <row r="147" s="53" customFormat="1"/>
    <row r="148" s="53" customFormat="1"/>
    <row r="149" s="53" customFormat="1"/>
    <row r="150" s="53" customFormat="1"/>
    <row r="151" s="53" customFormat="1"/>
    <row r="152" s="53" customFormat="1"/>
    <row r="153" s="53" customFormat="1"/>
    <row r="154" s="53" customFormat="1"/>
    <row r="155" s="53" customFormat="1"/>
    <row r="156" s="53" customFormat="1"/>
    <row r="157" s="53" customFormat="1"/>
    <row r="158" s="53" customFormat="1"/>
    <row r="159" s="53" customFormat="1"/>
    <row r="160" s="53" customFormat="1"/>
    <row r="161" s="53" customFormat="1"/>
    <row r="162" s="53" customFormat="1"/>
    <row r="163" s="53" customFormat="1"/>
    <row r="164" s="53" customFormat="1"/>
    <row r="165" s="53" customFormat="1"/>
    <row r="166" s="53" customFormat="1"/>
    <row r="167" s="53" customFormat="1"/>
    <row r="168" s="53" customFormat="1"/>
    <row r="169" s="53" customFormat="1"/>
    <row r="170" s="53" customFormat="1"/>
    <row r="171" s="53" customFormat="1"/>
    <row r="172" s="53" customFormat="1"/>
    <row r="173" s="53" customFormat="1"/>
    <row r="174" s="53" customFormat="1"/>
    <row r="175" s="53" customFormat="1"/>
    <row r="176" s="53" customFormat="1"/>
    <row r="177" s="53" customFormat="1"/>
    <row r="178" s="53" customFormat="1"/>
    <row r="179" s="53" customFormat="1"/>
    <row r="180" s="53" customFormat="1"/>
    <row r="181" s="53" customFormat="1"/>
    <row r="182" s="53" customFormat="1"/>
    <row r="183" s="53" customFormat="1"/>
    <row r="184" s="53" customFormat="1"/>
    <row r="185" s="53" customFormat="1"/>
    <row r="186" s="53" customFormat="1"/>
    <row r="187" s="53" customFormat="1"/>
    <row r="188" s="53" customFormat="1"/>
    <row r="189" s="53" customFormat="1"/>
    <row r="190" s="53" customFormat="1"/>
    <row r="191" s="53" customFormat="1"/>
    <row r="192" s="53" customFormat="1"/>
    <row r="193" s="53" customFormat="1"/>
    <row r="194" s="53" customFormat="1"/>
    <row r="195" s="53" customFormat="1"/>
    <row r="196" s="53" customFormat="1"/>
    <row r="197" s="53" customFormat="1"/>
    <row r="198" s="53" customFormat="1"/>
  </sheetData>
  <mergeCells count="10">
    <mergeCell ref="B16:G16"/>
    <mergeCell ref="C2:G2"/>
    <mergeCell ref="H2:L2"/>
    <mergeCell ref="M2:Q2"/>
    <mergeCell ref="R2:T2"/>
    <mergeCell ref="C3:G3"/>
    <mergeCell ref="H3:L3"/>
    <mergeCell ref="M3:Q3"/>
    <mergeCell ref="R3:T3"/>
    <mergeCell ref="B2:B4"/>
  </mergeCells>
  <pageMargins left="0.7" right="0.7" top="0.75" bottom="0.75" header="0.3" footer="0.3"/>
  <pageSetup paperSize="9" scale="46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Z72"/>
  <sheetViews>
    <sheetView showGridLines="0" topLeftCell="A46" zoomScale="85" zoomScaleNormal="85" zoomScaleSheetLayoutView="85" workbookViewId="0">
      <pane xSplit="1" topLeftCell="O1" activePane="topRight" state="frozen"/>
      <selection pane="topRight" activeCell="W58" sqref="W58"/>
    </sheetView>
  </sheetViews>
  <sheetFormatPr defaultRowHeight="12.75"/>
  <cols>
    <col min="1" max="1" width="53" style="127" customWidth="1"/>
    <col min="2" max="2" width="11.5" style="112" bestFit="1" customWidth="1"/>
    <col min="3" max="3" width="12.375" style="112" bestFit="1" customWidth="1"/>
    <col min="4" max="4" width="13.625" style="112" customWidth="1"/>
    <col min="5" max="5" width="12.125" style="112" bestFit="1" customWidth="1"/>
    <col min="6" max="8" width="13.625" style="112" customWidth="1"/>
    <col min="9" max="9" width="12.125" style="112" customWidth="1"/>
    <col min="10" max="10" width="13.625" style="112" customWidth="1"/>
    <col min="11" max="12" width="13.625" style="128" customWidth="1"/>
    <col min="13" max="13" width="12.125" style="112" customWidth="1"/>
    <col min="14" max="15" width="13.625" style="112" customWidth="1"/>
    <col min="16" max="16" width="13.625" style="128" customWidth="1"/>
    <col min="17" max="21" width="13.625" style="112" customWidth="1"/>
    <col min="22" max="41" width="9" style="111"/>
    <col min="42" max="16384" width="9" style="112"/>
  </cols>
  <sheetData>
    <row r="1" spans="1:494" s="107" customFormat="1" ht="50.25" customHeight="1" thickBot="1">
      <c r="A1" s="3" t="s">
        <v>6</v>
      </c>
      <c r="B1" s="3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  <c r="IW1" s="106"/>
      <c r="IX1" s="106"/>
      <c r="IY1" s="106"/>
      <c r="IZ1" s="106"/>
      <c r="JA1" s="106"/>
      <c r="JB1" s="106"/>
      <c r="JC1" s="106"/>
      <c r="JD1" s="106"/>
      <c r="JE1" s="106"/>
      <c r="JF1" s="106"/>
      <c r="JG1" s="106"/>
      <c r="JH1" s="106"/>
      <c r="JI1" s="106"/>
      <c r="JJ1" s="106"/>
      <c r="JK1" s="106"/>
      <c r="JL1" s="106"/>
      <c r="JM1" s="106"/>
      <c r="JN1" s="106"/>
      <c r="JO1" s="106"/>
      <c r="JP1" s="106"/>
      <c r="JQ1" s="106"/>
      <c r="JR1" s="106"/>
      <c r="JS1" s="106"/>
      <c r="JT1" s="106"/>
      <c r="JU1" s="106"/>
      <c r="JV1" s="106"/>
      <c r="JW1" s="106"/>
      <c r="JX1" s="106"/>
      <c r="JY1" s="106"/>
      <c r="JZ1" s="106"/>
      <c r="KA1" s="106"/>
      <c r="KB1" s="106"/>
      <c r="KC1" s="106"/>
      <c r="KD1" s="106"/>
      <c r="KE1" s="106"/>
      <c r="KF1" s="106"/>
      <c r="KG1" s="106"/>
      <c r="KH1" s="106"/>
      <c r="KI1" s="106"/>
      <c r="KJ1" s="106"/>
      <c r="KK1" s="106"/>
      <c r="KL1" s="106"/>
      <c r="KM1" s="106"/>
      <c r="KN1" s="106"/>
      <c r="KO1" s="106"/>
      <c r="KP1" s="106"/>
      <c r="KQ1" s="106"/>
      <c r="KR1" s="106"/>
      <c r="KS1" s="106"/>
      <c r="KT1" s="106"/>
      <c r="KU1" s="106"/>
      <c r="KV1" s="106"/>
      <c r="KW1" s="106"/>
      <c r="KX1" s="106"/>
      <c r="KY1" s="106"/>
      <c r="KZ1" s="106"/>
      <c r="LA1" s="106"/>
      <c r="LB1" s="106"/>
      <c r="LC1" s="106"/>
      <c r="LD1" s="106"/>
      <c r="LE1" s="106"/>
      <c r="LF1" s="106"/>
      <c r="LG1" s="106"/>
      <c r="LH1" s="106"/>
      <c r="LI1" s="106"/>
      <c r="LJ1" s="106"/>
      <c r="LK1" s="106"/>
      <c r="LL1" s="106"/>
      <c r="LM1" s="106"/>
      <c r="LN1" s="106"/>
      <c r="LO1" s="106"/>
      <c r="LP1" s="106"/>
      <c r="LQ1" s="106"/>
      <c r="LR1" s="106"/>
      <c r="LS1" s="106"/>
      <c r="LT1" s="106"/>
      <c r="LU1" s="106"/>
      <c r="LV1" s="106"/>
      <c r="LW1" s="106"/>
      <c r="LX1" s="106"/>
      <c r="LY1" s="106"/>
      <c r="LZ1" s="106"/>
      <c r="MA1" s="106"/>
      <c r="MB1" s="106"/>
      <c r="MC1" s="106"/>
      <c r="MD1" s="106"/>
      <c r="ME1" s="106"/>
      <c r="MF1" s="106"/>
      <c r="MG1" s="106"/>
      <c r="MH1" s="106"/>
      <c r="MI1" s="106"/>
      <c r="MJ1" s="106"/>
      <c r="MK1" s="106"/>
      <c r="ML1" s="106"/>
      <c r="MM1" s="106"/>
      <c r="MN1" s="106"/>
      <c r="MO1" s="106"/>
      <c r="MP1" s="106"/>
      <c r="MQ1" s="106"/>
      <c r="MR1" s="106"/>
      <c r="MS1" s="106"/>
      <c r="MT1" s="106"/>
      <c r="MU1" s="106"/>
      <c r="MV1" s="106"/>
      <c r="MW1" s="106"/>
      <c r="MX1" s="106"/>
      <c r="MY1" s="106"/>
      <c r="MZ1" s="106"/>
      <c r="NA1" s="106"/>
      <c r="NB1" s="106"/>
      <c r="NC1" s="106"/>
      <c r="ND1" s="106"/>
      <c r="NE1" s="106"/>
      <c r="NF1" s="106"/>
      <c r="NG1" s="106"/>
      <c r="NH1" s="106"/>
      <c r="NI1" s="106"/>
      <c r="NJ1" s="106"/>
      <c r="NK1" s="106"/>
      <c r="NL1" s="106"/>
      <c r="NM1" s="106"/>
      <c r="NN1" s="106"/>
      <c r="NO1" s="106"/>
      <c r="NP1" s="106"/>
      <c r="NQ1" s="106"/>
      <c r="NR1" s="106"/>
      <c r="NS1" s="106"/>
      <c r="NT1" s="106"/>
      <c r="NU1" s="106"/>
      <c r="NV1" s="106"/>
      <c r="NW1" s="106"/>
      <c r="NX1" s="106"/>
      <c r="NY1" s="106"/>
      <c r="NZ1" s="106"/>
      <c r="OA1" s="106"/>
      <c r="OB1" s="106"/>
      <c r="OC1" s="106"/>
      <c r="OD1" s="106"/>
      <c r="OE1" s="106"/>
      <c r="OF1" s="106"/>
      <c r="OG1" s="106"/>
      <c r="OH1" s="106"/>
      <c r="OI1" s="106"/>
      <c r="OJ1" s="106"/>
      <c r="OK1" s="106"/>
      <c r="OL1" s="106"/>
      <c r="OM1" s="106"/>
      <c r="ON1" s="106"/>
      <c r="OO1" s="106"/>
      <c r="OP1" s="106"/>
      <c r="OQ1" s="106"/>
      <c r="OR1" s="106"/>
      <c r="OS1" s="106"/>
      <c r="OT1" s="106"/>
      <c r="OU1" s="106"/>
      <c r="OV1" s="106"/>
      <c r="OW1" s="106"/>
      <c r="OX1" s="106"/>
      <c r="OY1" s="106"/>
      <c r="OZ1" s="106"/>
      <c r="PA1" s="106"/>
      <c r="PB1" s="106"/>
      <c r="PC1" s="106"/>
      <c r="PD1" s="106"/>
      <c r="PE1" s="106"/>
      <c r="PF1" s="106"/>
      <c r="PG1" s="106"/>
      <c r="PH1" s="106"/>
      <c r="PI1" s="106"/>
      <c r="PJ1" s="106"/>
      <c r="PK1" s="106"/>
      <c r="PL1" s="106"/>
      <c r="PM1" s="106"/>
      <c r="PN1" s="106"/>
      <c r="PO1" s="106"/>
      <c r="PP1" s="106"/>
      <c r="PQ1" s="106"/>
      <c r="PR1" s="106"/>
      <c r="PS1" s="106"/>
      <c r="PT1" s="106"/>
      <c r="PU1" s="106"/>
      <c r="PV1" s="106"/>
      <c r="PW1" s="106"/>
      <c r="PX1" s="106"/>
      <c r="PY1" s="106"/>
      <c r="PZ1" s="106"/>
      <c r="QA1" s="106"/>
      <c r="QB1" s="106"/>
      <c r="QC1" s="106"/>
      <c r="QD1" s="106"/>
      <c r="QE1" s="106"/>
      <c r="QF1" s="106"/>
      <c r="QG1" s="106"/>
      <c r="QH1" s="106"/>
      <c r="QI1" s="106"/>
      <c r="QJ1" s="106"/>
      <c r="QK1" s="106"/>
      <c r="QL1" s="106"/>
      <c r="QM1" s="106"/>
      <c r="QN1" s="106"/>
      <c r="QO1" s="106"/>
      <c r="QP1" s="106"/>
      <c r="QQ1" s="106"/>
      <c r="QR1" s="106"/>
      <c r="QS1" s="106"/>
      <c r="QT1" s="106"/>
      <c r="QU1" s="106"/>
      <c r="QV1" s="106"/>
      <c r="QW1" s="106"/>
      <c r="QX1" s="106"/>
      <c r="QY1" s="106"/>
      <c r="QZ1" s="106"/>
      <c r="RA1" s="106"/>
      <c r="RB1" s="106"/>
      <c r="RC1" s="106"/>
      <c r="RD1" s="106"/>
      <c r="RE1" s="106"/>
      <c r="RF1" s="106"/>
      <c r="RG1" s="106"/>
      <c r="RH1" s="106"/>
      <c r="RI1" s="106"/>
      <c r="RJ1" s="106"/>
      <c r="RK1" s="106"/>
      <c r="RL1" s="106"/>
      <c r="RM1" s="106"/>
      <c r="RN1" s="106"/>
      <c r="RO1" s="106"/>
      <c r="RP1" s="106"/>
      <c r="RQ1" s="106"/>
      <c r="RR1" s="106"/>
      <c r="RS1" s="106"/>
      <c r="RT1" s="106"/>
      <c r="RU1" s="106"/>
      <c r="RV1" s="106"/>
      <c r="RW1" s="106"/>
      <c r="RX1" s="106"/>
      <c r="RY1" s="106"/>
      <c r="RZ1" s="106"/>
    </row>
    <row r="2" spans="1:494" s="107" customFormat="1" ht="24.95" customHeight="1">
      <c r="A2" s="9" t="s">
        <v>48</v>
      </c>
      <c r="B2" s="341">
        <v>2012</v>
      </c>
      <c r="C2" s="341"/>
      <c r="D2" s="341"/>
      <c r="E2" s="341"/>
      <c r="F2" s="341">
        <v>2013</v>
      </c>
      <c r="G2" s="341"/>
      <c r="H2" s="341"/>
      <c r="I2" s="341"/>
      <c r="J2" s="340">
        <v>2014</v>
      </c>
      <c r="K2" s="341"/>
      <c r="L2" s="341"/>
      <c r="M2" s="342"/>
      <c r="N2" s="344">
        <v>2015</v>
      </c>
      <c r="O2" s="344"/>
      <c r="P2" s="344"/>
      <c r="Q2" s="345"/>
      <c r="R2" s="340">
        <v>2016</v>
      </c>
      <c r="S2" s="341"/>
      <c r="T2" s="341"/>
      <c r="U2" s="342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  <c r="IW2" s="106"/>
      <c r="IX2" s="106"/>
      <c r="IY2" s="106"/>
      <c r="IZ2" s="106"/>
      <c r="JA2" s="106"/>
      <c r="JB2" s="106"/>
      <c r="JC2" s="106"/>
      <c r="JD2" s="106"/>
      <c r="JE2" s="106"/>
      <c r="JF2" s="106"/>
      <c r="JG2" s="106"/>
      <c r="JH2" s="106"/>
      <c r="JI2" s="106"/>
      <c r="JJ2" s="106"/>
      <c r="JK2" s="106"/>
      <c r="JL2" s="106"/>
      <c r="JM2" s="106"/>
      <c r="JN2" s="106"/>
      <c r="JO2" s="106"/>
      <c r="JP2" s="106"/>
      <c r="JQ2" s="106"/>
      <c r="JR2" s="106"/>
      <c r="JS2" s="106"/>
      <c r="JT2" s="106"/>
      <c r="JU2" s="106"/>
      <c r="JV2" s="106"/>
      <c r="JW2" s="106"/>
      <c r="JX2" s="106"/>
      <c r="JY2" s="106"/>
      <c r="JZ2" s="106"/>
      <c r="KA2" s="106"/>
      <c r="KB2" s="106"/>
      <c r="KC2" s="106"/>
      <c r="KD2" s="106"/>
      <c r="KE2" s="106"/>
      <c r="KF2" s="106"/>
      <c r="KG2" s="106"/>
      <c r="KH2" s="106"/>
      <c r="KI2" s="106"/>
      <c r="KJ2" s="106"/>
      <c r="KK2" s="106"/>
      <c r="KL2" s="106"/>
      <c r="KM2" s="106"/>
      <c r="KN2" s="106"/>
      <c r="KO2" s="106"/>
      <c r="KP2" s="106"/>
      <c r="KQ2" s="106"/>
      <c r="KR2" s="106"/>
      <c r="KS2" s="106"/>
      <c r="KT2" s="106"/>
      <c r="KU2" s="106"/>
      <c r="KV2" s="106"/>
      <c r="KW2" s="106"/>
      <c r="KX2" s="106"/>
      <c r="KY2" s="106"/>
      <c r="KZ2" s="106"/>
      <c r="LA2" s="106"/>
      <c r="LB2" s="106"/>
      <c r="LC2" s="106"/>
      <c r="LD2" s="106"/>
      <c r="LE2" s="106"/>
      <c r="LF2" s="106"/>
      <c r="LG2" s="106"/>
      <c r="LH2" s="106"/>
      <c r="LI2" s="106"/>
      <c r="LJ2" s="106"/>
      <c r="LK2" s="106"/>
      <c r="LL2" s="106"/>
      <c r="LM2" s="106"/>
      <c r="LN2" s="106"/>
      <c r="LO2" s="106"/>
      <c r="LP2" s="106"/>
      <c r="LQ2" s="106"/>
      <c r="LR2" s="106"/>
      <c r="LS2" s="106"/>
      <c r="LT2" s="106"/>
      <c r="LU2" s="106"/>
      <c r="LV2" s="106"/>
      <c r="LW2" s="106"/>
      <c r="LX2" s="106"/>
      <c r="LY2" s="106"/>
      <c r="LZ2" s="106"/>
      <c r="MA2" s="106"/>
      <c r="MB2" s="106"/>
      <c r="MC2" s="106"/>
      <c r="MD2" s="106"/>
      <c r="ME2" s="106"/>
      <c r="MF2" s="106"/>
      <c r="MG2" s="106"/>
      <c r="MH2" s="106"/>
      <c r="MI2" s="106"/>
      <c r="MJ2" s="106"/>
      <c r="MK2" s="106"/>
      <c r="ML2" s="106"/>
      <c r="MM2" s="106"/>
      <c r="MN2" s="106"/>
      <c r="MO2" s="106"/>
      <c r="MP2" s="106"/>
      <c r="MQ2" s="106"/>
      <c r="MR2" s="106"/>
      <c r="MS2" s="106"/>
      <c r="MT2" s="106"/>
      <c r="MU2" s="106"/>
      <c r="MV2" s="106"/>
      <c r="MW2" s="106"/>
      <c r="MX2" s="106"/>
      <c r="MY2" s="106"/>
      <c r="MZ2" s="106"/>
      <c r="NA2" s="106"/>
      <c r="NB2" s="106"/>
      <c r="NC2" s="106"/>
      <c r="ND2" s="106"/>
      <c r="NE2" s="106"/>
      <c r="NF2" s="106"/>
      <c r="NG2" s="106"/>
      <c r="NH2" s="106"/>
      <c r="NI2" s="106"/>
      <c r="NJ2" s="106"/>
      <c r="NK2" s="106"/>
      <c r="NL2" s="106"/>
      <c r="NM2" s="106"/>
      <c r="NN2" s="106"/>
      <c r="NO2" s="106"/>
      <c r="NP2" s="106"/>
      <c r="NQ2" s="106"/>
      <c r="NR2" s="106"/>
      <c r="NS2" s="106"/>
      <c r="NT2" s="106"/>
      <c r="NU2" s="106"/>
      <c r="NV2" s="106"/>
      <c r="NW2" s="106"/>
      <c r="NX2" s="106"/>
      <c r="NY2" s="106"/>
      <c r="NZ2" s="106"/>
      <c r="OA2" s="106"/>
      <c r="OB2" s="106"/>
      <c r="OC2" s="106"/>
      <c r="OD2" s="106"/>
      <c r="OE2" s="106"/>
      <c r="OF2" s="106"/>
      <c r="OG2" s="106"/>
      <c r="OH2" s="106"/>
      <c r="OI2" s="106"/>
      <c r="OJ2" s="106"/>
      <c r="OK2" s="106"/>
      <c r="OL2" s="106"/>
      <c r="OM2" s="106"/>
      <c r="ON2" s="106"/>
      <c r="OO2" s="106"/>
      <c r="OP2" s="106"/>
      <c r="OQ2" s="106"/>
      <c r="OR2" s="106"/>
      <c r="OS2" s="106"/>
      <c r="OT2" s="106"/>
      <c r="OU2" s="106"/>
      <c r="OV2" s="106"/>
      <c r="OW2" s="106"/>
      <c r="OX2" s="106"/>
      <c r="OY2" s="106"/>
      <c r="OZ2" s="106"/>
      <c r="PA2" s="106"/>
      <c r="PB2" s="106"/>
      <c r="PC2" s="106"/>
      <c r="PD2" s="106"/>
      <c r="PE2" s="106"/>
      <c r="PF2" s="106"/>
      <c r="PG2" s="106"/>
      <c r="PH2" s="106"/>
      <c r="PI2" s="106"/>
      <c r="PJ2" s="106"/>
      <c r="PK2" s="106"/>
      <c r="PL2" s="106"/>
      <c r="PM2" s="106"/>
      <c r="PN2" s="106"/>
      <c r="PO2" s="106"/>
      <c r="PP2" s="106"/>
      <c r="PQ2" s="106"/>
      <c r="PR2" s="106"/>
      <c r="PS2" s="106"/>
      <c r="PT2" s="106"/>
      <c r="PU2" s="106"/>
      <c r="PV2" s="106"/>
      <c r="PW2" s="106"/>
      <c r="PX2" s="106"/>
      <c r="PY2" s="106"/>
      <c r="PZ2" s="106"/>
      <c r="QA2" s="106"/>
      <c r="QB2" s="106"/>
      <c r="QC2" s="106"/>
      <c r="QD2" s="106"/>
      <c r="QE2" s="106"/>
      <c r="QF2" s="106"/>
      <c r="QG2" s="106"/>
      <c r="QH2" s="106"/>
      <c r="QI2" s="106"/>
      <c r="QJ2" s="106"/>
      <c r="QK2" s="106"/>
      <c r="QL2" s="106"/>
      <c r="QM2" s="106"/>
      <c r="QN2" s="106"/>
      <c r="QO2" s="106"/>
      <c r="QP2" s="106"/>
      <c r="QQ2" s="106"/>
      <c r="QR2" s="106"/>
      <c r="QS2" s="106"/>
      <c r="QT2" s="106"/>
      <c r="QU2" s="106"/>
      <c r="QV2" s="106"/>
      <c r="QW2" s="106"/>
      <c r="QX2" s="106"/>
      <c r="QY2" s="106"/>
      <c r="QZ2" s="106"/>
      <c r="RA2" s="106"/>
      <c r="RB2" s="106"/>
      <c r="RC2" s="106"/>
      <c r="RD2" s="106"/>
      <c r="RE2" s="106"/>
      <c r="RF2" s="106"/>
      <c r="RG2" s="106"/>
      <c r="RH2" s="106"/>
      <c r="RI2" s="106"/>
      <c r="RJ2" s="106"/>
      <c r="RK2" s="106"/>
      <c r="RL2" s="106"/>
      <c r="RM2" s="106"/>
      <c r="RN2" s="106"/>
      <c r="RO2" s="106"/>
      <c r="RP2" s="106"/>
      <c r="RQ2" s="106"/>
      <c r="RR2" s="106"/>
      <c r="RS2" s="106"/>
      <c r="RT2" s="106"/>
      <c r="RU2" s="106"/>
      <c r="RV2" s="106"/>
      <c r="RW2" s="106"/>
      <c r="RX2" s="106"/>
      <c r="RY2" s="106"/>
      <c r="RZ2" s="106"/>
    </row>
    <row r="3" spans="1:494" ht="34.5" customHeight="1" thickBot="1">
      <c r="A3" s="10" t="s">
        <v>8</v>
      </c>
      <c r="B3" s="108" t="s">
        <v>44</v>
      </c>
      <c r="C3" s="108" t="s">
        <v>45</v>
      </c>
      <c r="D3" s="108" t="s">
        <v>46</v>
      </c>
      <c r="E3" s="109" t="s">
        <v>47</v>
      </c>
      <c r="F3" s="108" t="s">
        <v>44</v>
      </c>
      <c r="G3" s="108" t="s">
        <v>45</v>
      </c>
      <c r="H3" s="108" t="s">
        <v>46</v>
      </c>
      <c r="I3" s="109" t="s">
        <v>47</v>
      </c>
      <c r="J3" s="108" t="s">
        <v>44</v>
      </c>
      <c r="K3" s="108" t="s">
        <v>45</v>
      </c>
      <c r="L3" s="108" t="s">
        <v>46</v>
      </c>
      <c r="M3" s="110" t="s">
        <v>158</v>
      </c>
      <c r="N3" s="108" t="s">
        <v>44</v>
      </c>
      <c r="O3" s="108" t="s">
        <v>45</v>
      </c>
      <c r="P3" s="108" t="s">
        <v>165</v>
      </c>
      <c r="Q3" s="109" t="s">
        <v>47</v>
      </c>
      <c r="R3" s="108" t="s">
        <v>44</v>
      </c>
      <c r="S3" s="108" t="s">
        <v>45</v>
      </c>
      <c r="T3" s="108" t="s">
        <v>165</v>
      </c>
      <c r="U3" s="109" t="s">
        <v>47</v>
      </c>
    </row>
    <row r="4" spans="1:494" s="111" customFormat="1" ht="33.75" customHeight="1" thickBot="1">
      <c r="A4" s="103" t="s">
        <v>49</v>
      </c>
      <c r="B4" s="113"/>
      <c r="C4" s="113"/>
      <c r="D4" s="113"/>
      <c r="E4" s="114"/>
      <c r="F4" s="113"/>
      <c r="G4" s="113"/>
      <c r="H4" s="113"/>
      <c r="I4" s="115"/>
      <c r="J4" s="116"/>
      <c r="K4" s="117"/>
      <c r="L4" s="117"/>
      <c r="M4" s="114"/>
      <c r="N4" s="113"/>
      <c r="O4" s="113"/>
      <c r="P4" s="117"/>
      <c r="Q4" s="115"/>
      <c r="R4" s="113"/>
      <c r="S4" s="113"/>
      <c r="T4" s="113"/>
      <c r="U4" s="115"/>
    </row>
    <row r="5" spans="1:494" s="111" customFormat="1" ht="20.100000000000001" customHeight="1">
      <c r="A5" s="104" t="s">
        <v>50</v>
      </c>
      <c r="B5" s="147">
        <f>415.308</f>
        <v>415.30799999999999</v>
      </c>
      <c r="C5" s="147">
        <f>419.479</f>
        <v>419.47899999999998</v>
      </c>
      <c r="D5" s="167">
        <f>(425068)*0.001</f>
        <v>425.06799999999998</v>
      </c>
      <c r="E5" s="271">
        <f>(420060)*0.001</f>
        <v>420.06</v>
      </c>
      <c r="F5" s="167">
        <f>(419894)*0.001</f>
        <v>419.89400000000001</v>
      </c>
      <c r="G5" s="167">
        <f>(418521)*0.001</f>
        <v>418.52100000000002</v>
      </c>
      <c r="H5" s="167">
        <f>(409736)*0.001</f>
        <v>409.73599999999999</v>
      </c>
      <c r="I5" s="272">
        <f>(407579)*0.001</f>
        <v>407.57900000000001</v>
      </c>
      <c r="J5" s="273">
        <f>(395393)*0.001</f>
        <v>395.39300000000003</v>
      </c>
      <c r="K5" s="147">
        <v>384.8</v>
      </c>
      <c r="L5" s="147">
        <v>417</v>
      </c>
      <c r="M5" s="148">
        <v>421.1</v>
      </c>
      <c r="N5" s="147">
        <v>416.6</v>
      </c>
      <c r="O5" s="147">
        <v>401.1</v>
      </c>
      <c r="P5" s="147">
        <v>377</v>
      </c>
      <c r="Q5" s="148">
        <v>371</v>
      </c>
      <c r="R5" s="147">
        <v>356.7</v>
      </c>
      <c r="S5" s="147">
        <v>353.3</v>
      </c>
      <c r="T5" s="147">
        <v>350.4</v>
      </c>
      <c r="U5" s="148">
        <v>350.9</v>
      </c>
    </row>
    <row r="6" spans="1:494" s="111" customFormat="1" ht="20.100000000000001" customHeight="1">
      <c r="A6" s="104" t="s">
        <v>51</v>
      </c>
      <c r="B6" s="147">
        <f>258.7</f>
        <v>258.7</v>
      </c>
      <c r="C6" s="147">
        <f>258.506</f>
        <v>258.50599999999997</v>
      </c>
      <c r="D6" s="167">
        <f>(257043)*0.001</f>
        <v>257.04300000000001</v>
      </c>
      <c r="E6" s="271">
        <f>(276407)*0.001</f>
        <v>276.40699999999998</v>
      </c>
      <c r="F6" s="167">
        <f>(266252)*0.001</f>
        <v>266.25200000000001</v>
      </c>
      <c r="G6" s="167">
        <f>(265011)*0.001</f>
        <v>265.01100000000002</v>
      </c>
      <c r="H6" s="167">
        <f>(252063)*0.001</f>
        <v>252.06300000000002</v>
      </c>
      <c r="I6" s="272">
        <f>(251152)*0.001</f>
        <v>251.15200000000002</v>
      </c>
      <c r="J6" s="273">
        <f>(248178)*0.001</f>
        <v>248.178</v>
      </c>
      <c r="K6" s="147">
        <v>3010.6</v>
      </c>
      <c r="L6" s="147">
        <v>2933.8</v>
      </c>
      <c r="M6" s="148">
        <v>2714.9</v>
      </c>
      <c r="N6" s="147">
        <v>2855.8</v>
      </c>
      <c r="O6" s="147">
        <v>2541.1999999999998</v>
      </c>
      <c r="P6" s="147">
        <v>2535.1999999999998</v>
      </c>
      <c r="Q6" s="148">
        <v>2548.6</v>
      </c>
      <c r="R6" s="147">
        <v>3002.2</v>
      </c>
      <c r="S6" s="147">
        <v>2931</v>
      </c>
      <c r="T6" s="147">
        <v>2882.8</v>
      </c>
      <c r="U6" s="148">
        <v>2964.3</v>
      </c>
    </row>
    <row r="7" spans="1:494" s="111" customFormat="1" ht="20.100000000000001" customHeight="1">
      <c r="A7" s="104" t="s">
        <v>52</v>
      </c>
      <c r="B7" s="147">
        <f>2422.989</f>
        <v>2422.989</v>
      </c>
      <c r="C7" s="147">
        <f>2575.456</f>
        <v>2575.4560000000001</v>
      </c>
      <c r="D7" s="147">
        <f>(2575456)*0.001</f>
        <v>2575.4560000000001</v>
      </c>
      <c r="E7" s="168">
        <f>(2568033)*0.001</f>
        <v>2568.0329999999999</v>
      </c>
      <c r="F7" s="147">
        <f>(2568033)*0.001</f>
        <v>2568.0329999999999</v>
      </c>
      <c r="G7" s="147">
        <f>(2568033)*0.001</f>
        <v>2568.0329999999999</v>
      </c>
      <c r="H7" s="147">
        <f>(2637594)*0.001</f>
        <v>2637.5940000000001</v>
      </c>
      <c r="I7" s="168">
        <f>(2602804)*0.001</f>
        <v>2602.8040000000001</v>
      </c>
      <c r="J7" s="147">
        <f>(2602804)*0.001</f>
        <v>2602.8040000000001</v>
      </c>
      <c r="K7" s="147">
        <v>11735.5</v>
      </c>
      <c r="L7" s="147">
        <v>11735.5</v>
      </c>
      <c r="M7" s="148">
        <v>10585.3</v>
      </c>
      <c r="N7" s="147">
        <v>10831.2</v>
      </c>
      <c r="O7" s="147">
        <v>10606.4</v>
      </c>
      <c r="P7" s="147">
        <v>10606.4</v>
      </c>
      <c r="Q7" s="148">
        <v>10606.4</v>
      </c>
      <c r="R7" s="147">
        <v>11675.3</v>
      </c>
      <c r="S7" s="147">
        <v>10975.2</v>
      </c>
      <c r="T7" s="147">
        <v>10975.3</v>
      </c>
      <c r="U7" s="148">
        <v>10975.4</v>
      </c>
    </row>
    <row r="8" spans="1:494" s="111" customFormat="1" ht="20.100000000000001" customHeight="1">
      <c r="A8" s="119" t="s">
        <v>149</v>
      </c>
      <c r="B8" s="149">
        <f>0</f>
        <v>0</v>
      </c>
      <c r="C8" s="149">
        <v>0</v>
      </c>
      <c r="D8" s="149">
        <f>0</f>
        <v>0</v>
      </c>
      <c r="E8" s="148">
        <v>0</v>
      </c>
      <c r="F8" s="149">
        <f>0</f>
        <v>0</v>
      </c>
      <c r="G8" s="149">
        <f>0</f>
        <v>0</v>
      </c>
      <c r="H8" s="149">
        <f>0</f>
        <v>0</v>
      </c>
      <c r="I8" s="274">
        <f>0</f>
        <v>0</v>
      </c>
      <c r="J8" s="275">
        <v>0</v>
      </c>
      <c r="K8" s="147">
        <v>4482</v>
      </c>
      <c r="L8" s="147">
        <v>4331.8999999999996</v>
      </c>
      <c r="M8" s="148">
        <v>4255.8</v>
      </c>
      <c r="N8" s="149">
        <v>4002.2</v>
      </c>
      <c r="O8" s="149">
        <v>3944.6</v>
      </c>
      <c r="P8" s="147">
        <v>3791.6</v>
      </c>
      <c r="Q8" s="148">
        <v>3638.5</v>
      </c>
      <c r="R8" s="149">
        <v>3488.7</v>
      </c>
      <c r="S8" s="149">
        <v>3337.3</v>
      </c>
      <c r="T8" s="149">
        <v>3184.2</v>
      </c>
      <c r="U8" s="148">
        <v>3031.2</v>
      </c>
    </row>
    <row r="9" spans="1:494" s="111" customFormat="1" ht="20.100000000000001" customHeight="1">
      <c r="A9" s="104" t="s">
        <v>53</v>
      </c>
      <c r="B9" s="147">
        <f>840</f>
        <v>840</v>
      </c>
      <c r="C9" s="167">
        <f>(840000)*0.001</f>
        <v>840</v>
      </c>
      <c r="D9" s="167">
        <f>(840000)*0.001</f>
        <v>840</v>
      </c>
      <c r="E9" s="271">
        <f>(847800)*0.001</f>
        <v>847.80000000000007</v>
      </c>
      <c r="F9" s="167">
        <f>(847800)*0.001</f>
        <v>847.80000000000007</v>
      </c>
      <c r="G9" s="167">
        <f>(847800)*0.001</f>
        <v>847.80000000000007</v>
      </c>
      <c r="H9" s="167">
        <f>(847800)*0.001</f>
        <v>847.80000000000007</v>
      </c>
      <c r="I9" s="272">
        <f>(890800)*0.001</f>
        <v>890.80000000000007</v>
      </c>
      <c r="J9" s="273">
        <f>(890800)*0.001</f>
        <v>890.80000000000007</v>
      </c>
      <c r="K9" s="147">
        <v>890.8</v>
      </c>
      <c r="L9" s="147">
        <v>890.8</v>
      </c>
      <c r="M9" s="148">
        <v>2085.9</v>
      </c>
      <c r="N9" s="147">
        <v>1783.7</v>
      </c>
      <c r="O9" s="147">
        <v>2092.6999999999998</v>
      </c>
      <c r="P9" s="147">
        <v>2086.6</v>
      </c>
      <c r="Q9" s="148">
        <v>2080.6</v>
      </c>
      <c r="R9" s="147">
        <v>2074.6</v>
      </c>
      <c r="S9" s="147">
        <v>2068.6</v>
      </c>
      <c r="T9" s="147">
        <v>2062.5</v>
      </c>
      <c r="U9" s="148">
        <v>2056.5</v>
      </c>
    </row>
    <row r="10" spans="1:494" s="111" customFormat="1" ht="20.100000000000001" customHeight="1">
      <c r="A10" s="104" t="s">
        <v>54</v>
      </c>
      <c r="B10" s="147">
        <f>69.466</f>
        <v>69.465999999999994</v>
      </c>
      <c r="C10" s="167">
        <f>(69627)*0.001</f>
        <v>69.626999999999995</v>
      </c>
      <c r="D10" s="167">
        <f>(68459)*0.001</f>
        <v>68.459000000000003</v>
      </c>
      <c r="E10" s="271">
        <f>(81380)*0.001</f>
        <v>81.38</v>
      </c>
      <c r="F10" s="167">
        <f>(82841)*0.001</f>
        <v>82.841000000000008</v>
      </c>
      <c r="G10" s="167">
        <f>(83804)*0.001</f>
        <v>83.804000000000002</v>
      </c>
      <c r="H10" s="167">
        <f>(115337)*0.001</f>
        <v>115.337</v>
      </c>
      <c r="I10" s="272">
        <f>(137401)*0.001</f>
        <v>137.40100000000001</v>
      </c>
      <c r="J10" s="273">
        <f>(136697)*0.001</f>
        <v>136.697</v>
      </c>
      <c r="K10" s="147">
        <v>2360.6</v>
      </c>
      <c r="L10" s="147">
        <v>2624.2</v>
      </c>
      <c r="M10" s="148">
        <v>2591.4</v>
      </c>
      <c r="N10" s="147">
        <v>2527.5</v>
      </c>
      <c r="O10" s="147">
        <v>2525.8000000000002</v>
      </c>
      <c r="P10" s="147">
        <v>2464.1999999999998</v>
      </c>
      <c r="Q10" s="148">
        <v>2422.1999999999998</v>
      </c>
      <c r="R10" s="147">
        <v>2988.7</v>
      </c>
      <c r="S10" s="147">
        <v>3903</v>
      </c>
      <c r="T10" s="147">
        <v>3769.5</v>
      </c>
      <c r="U10" s="148">
        <v>3656.2</v>
      </c>
    </row>
    <row r="11" spans="1:494" s="111" customFormat="1" ht="20.100000000000001" customHeight="1">
      <c r="A11" s="104" t="s">
        <v>55</v>
      </c>
      <c r="B11" s="147">
        <f>91.415</f>
        <v>91.415000000000006</v>
      </c>
      <c r="C11" s="167">
        <f>(95405)*0.001</f>
        <v>95.405000000000001</v>
      </c>
      <c r="D11" s="167">
        <f>(95323)*0.001</f>
        <v>95.323000000000008</v>
      </c>
      <c r="E11" s="271">
        <f>(97988)*0.001</f>
        <v>97.988</v>
      </c>
      <c r="F11" s="167">
        <f>(104074)*0.001</f>
        <v>104.074</v>
      </c>
      <c r="G11" s="167">
        <f>(115904)*0.001</f>
        <v>115.904</v>
      </c>
      <c r="H11" s="167">
        <f>(82162)*0.001</f>
        <v>82.162000000000006</v>
      </c>
      <c r="I11" s="272">
        <f>(71571)*0.001</f>
        <v>71.570999999999998</v>
      </c>
      <c r="J11" s="273">
        <f>(107548)*0.001</f>
        <v>107.548</v>
      </c>
      <c r="K11" s="147">
        <v>128.1</v>
      </c>
      <c r="L11" s="147">
        <v>148.80000000000001</v>
      </c>
      <c r="M11" s="148">
        <v>135.80000000000001</v>
      </c>
      <c r="N11" s="147">
        <v>158.69999999999999</v>
      </c>
      <c r="O11" s="147">
        <v>174.6</v>
      </c>
      <c r="P11" s="147">
        <v>109</v>
      </c>
      <c r="Q11" s="148">
        <v>145</v>
      </c>
      <c r="R11" s="147">
        <v>129.80000000000001</v>
      </c>
      <c r="S11" s="147">
        <v>156.19999999999999</v>
      </c>
      <c r="T11" s="147">
        <v>125.6</v>
      </c>
      <c r="U11" s="148">
        <v>151.80000000000001</v>
      </c>
    </row>
    <row r="12" spans="1:494" s="111" customFormat="1" ht="20.100000000000001" customHeight="1">
      <c r="A12" s="104" t="s">
        <v>56</v>
      </c>
      <c r="B12" s="147">
        <f>8.419</f>
        <v>8.4190000000000005</v>
      </c>
      <c r="C12" s="167">
        <f>(8398)*0.001</f>
        <v>8.3979999999999997</v>
      </c>
      <c r="D12" s="167">
        <f>(8378)*0.001</f>
        <v>8.3780000000000001</v>
      </c>
      <c r="E12" s="271">
        <f>(8357)*0.001</f>
        <v>8.3569999999999993</v>
      </c>
      <c r="F12" s="167">
        <f>(8336)*0.001</f>
        <v>8.3360000000000003</v>
      </c>
      <c r="G12" s="167">
        <f>(7788)*0.001</f>
        <v>7.7880000000000003</v>
      </c>
      <c r="H12" s="167">
        <f>(7427)*0.001</f>
        <v>7.4270000000000005</v>
      </c>
      <c r="I12" s="272">
        <f>(5330)*0.001</f>
        <v>5.33</v>
      </c>
      <c r="J12" s="273">
        <f>(5315)*0.001</f>
        <v>5.3150000000000004</v>
      </c>
      <c r="K12" s="147">
        <v>5.3</v>
      </c>
      <c r="L12" s="147">
        <v>5.3</v>
      </c>
      <c r="M12" s="148">
        <v>5.3</v>
      </c>
      <c r="N12" s="147">
        <v>5.2</v>
      </c>
      <c r="O12" s="147">
        <v>5.2</v>
      </c>
      <c r="P12" s="147">
        <v>5.2</v>
      </c>
      <c r="Q12" s="148">
        <v>5.2</v>
      </c>
      <c r="R12" s="147">
        <v>5.2</v>
      </c>
      <c r="S12" s="147">
        <v>5.2</v>
      </c>
      <c r="T12" s="147">
        <v>5.2</v>
      </c>
      <c r="U12" s="148">
        <v>5.0999999999999996</v>
      </c>
    </row>
    <row r="13" spans="1:494" s="111" customFormat="1" ht="20.100000000000001" customHeight="1">
      <c r="A13" s="104" t="s">
        <v>150</v>
      </c>
      <c r="B13" s="149">
        <v>0</v>
      </c>
      <c r="C13" s="167">
        <f>(33259)*0.001</f>
        <v>33.259</v>
      </c>
      <c r="D13" s="167">
        <f>(33252)*0.001</f>
        <v>33.252000000000002</v>
      </c>
      <c r="E13" s="271">
        <f>(35125)*0.001</f>
        <v>35.125</v>
      </c>
      <c r="F13" s="167">
        <f>(34399)*0.001</f>
        <v>34.399000000000001</v>
      </c>
      <c r="G13" s="167">
        <f>(32935)*0.001</f>
        <v>32.935000000000002</v>
      </c>
      <c r="H13" s="167">
        <f>(29318)*0.001</f>
        <v>29.318000000000001</v>
      </c>
      <c r="I13" s="272">
        <f>(29551)*0.001</f>
        <v>29.551000000000002</v>
      </c>
      <c r="J13" s="273">
        <f>(26502)*0.001</f>
        <v>26.501999999999999</v>
      </c>
      <c r="K13" s="147">
        <v>46.2</v>
      </c>
      <c r="L13" s="147">
        <v>67</v>
      </c>
      <c r="M13" s="148">
        <v>81</v>
      </c>
      <c r="N13" s="147">
        <v>84.1</v>
      </c>
      <c r="O13" s="147">
        <v>82.3</v>
      </c>
      <c r="P13" s="147">
        <v>81.2</v>
      </c>
      <c r="Q13" s="148">
        <v>83.3</v>
      </c>
      <c r="R13" s="147">
        <v>81.099999999999994</v>
      </c>
      <c r="S13" s="147">
        <v>79.7</v>
      </c>
      <c r="T13" s="147">
        <v>80.400000000000006</v>
      </c>
      <c r="U13" s="148">
        <v>82.8</v>
      </c>
    </row>
    <row r="14" spans="1:494" s="111" customFormat="1" ht="20.100000000000001" customHeight="1">
      <c r="A14" s="104" t="s">
        <v>139</v>
      </c>
      <c r="B14" s="149">
        <v>0</v>
      </c>
      <c r="C14" s="149">
        <v>0</v>
      </c>
      <c r="D14" s="149">
        <v>0</v>
      </c>
      <c r="E14" s="271">
        <v>0</v>
      </c>
      <c r="F14" s="167">
        <v>0</v>
      </c>
      <c r="G14" s="167">
        <v>0</v>
      </c>
      <c r="H14" s="167">
        <v>0</v>
      </c>
      <c r="I14" s="272">
        <v>0</v>
      </c>
      <c r="J14" s="273">
        <v>0</v>
      </c>
      <c r="K14" s="147">
        <v>0</v>
      </c>
      <c r="L14" s="147">
        <v>0</v>
      </c>
      <c r="M14" s="148">
        <v>0</v>
      </c>
      <c r="N14" s="147">
        <v>0</v>
      </c>
      <c r="O14" s="147">
        <v>0</v>
      </c>
      <c r="P14" s="147">
        <v>0</v>
      </c>
      <c r="Q14" s="148">
        <v>0</v>
      </c>
      <c r="R14" s="147">
        <v>180.5</v>
      </c>
      <c r="S14" s="147">
        <v>0</v>
      </c>
      <c r="T14" s="147">
        <v>0</v>
      </c>
      <c r="U14" s="148">
        <v>0</v>
      </c>
    </row>
    <row r="15" spans="1:494" s="111" customFormat="1" ht="20.100000000000001" customHeight="1">
      <c r="A15" s="104" t="s">
        <v>151</v>
      </c>
      <c r="B15" s="147">
        <f>92.159</f>
        <v>92.159000000000006</v>
      </c>
      <c r="C15" s="167">
        <f>(84770)*0.001</f>
        <v>84.77</v>
      </c>
      <c r="D15" s="167">
        <f>(116704)*0.001</f>
        <v>116.70400000000001</v>
      </c>
      <c r="E15" s="271">
        <f>(109642)*0.001</f>
        <v>109.642</v>
      </c>
      <c r="F15" s="167">
        <f>(62960)*0.001</f>
        <v>62.96</v>
      </c>
      <c r="G15" s="167">
        <f>(61422)*0.001</f>
        <v>61.422000000000004</v>
      </c>
      <c r="H15" s="167">
        <f>(27107)*0.001</f>
        <v>27.106999999999999</v>
      </c>
      <c r="I15" s="272">
        <f>(20803)*0.001</f>
        <v>20.803000000000001</v>
      </c>
      <c r="J15" s="273">
        <f>(6430)*0.001</f>
        <v>6.43</v>
      </c>
      <c r="K15" s="147">
        <v>107.4</v>
      </c>
      <c r="L15" s="147">
        <v>141.4</v>
      </c>
      <c r="M15" s="148">
        <v>198.5</v>
      </c>
      <c r="N15" s="147">
        <v>238</v>
      </c>
      <c r="O15" s="147">
        <v>232.8</v>
      </c>
      <c r="P15" s="147">
        <v>232.7</v>
      </c>
      <c r="Q15" s="148">
        <v>272.8</v>
      </c>
      <c r="R15" s="147">
        <v>295.39999999999998</v>
      </c>
      <c r="S15" s="147">
        <v>331.8</v>
      </c>
      <c r="T15" s="147">
        <v>373.3</v>
      </c>
      <c r="U15" s="148">
        <v>452</v>
      </c>
    </row>
    <row r="16" spans="1:494" s="120" customFormat="1" ht="20.100000000000001" customHeight="1">
      <c r="A16" s="105" t="s">
        <v>57</v>
      </c>
      <c r="B16" s="150">
        <v>0</v>
      </c>
      <c r="C16" s="150">
        <v>0</v>
      </c>
      <c r="D16" s="150">
        <v>0</v>
      </c>
      <c r="E16" s="151">
        <v>0</v>
      </c>
      <c r="F16" s="150">
        <v>0</v>
      </c>
      <c r="G16" s="150">
        <v>0</v>
      </c>
      <c r="H16" s="150">
        <v>0</v>
      </c>
      <c r="I16" s="276">
        <v>0</v>
      </c>
      <c r="J16" s="277">
        <v>0</v>
      </c>
      <c r="K16" s="150">
        <v>0</v>
      </c>
      <c r="L16" s="150">
        <v>0</v>
      </c>
      <c r="M16" s="151">
        <v>1.2</v>
      </c>
      <c r="N16" s="150">
        <v>0</v>
      </c>
      <c r="O16" s="150">
        <v>0</v>
      </c>
      <c r="P16" s="150">
        <v>0</v>
      </c>
      <c r="Q16" s="151">
        <v>6.9</v>
      </c>
      <c r="R16" s="150">
        <v>0.6</v>
      </c>
      <c r="S16" s="150">
        <v>0</v>
      </c>
      <c r="T16" s="150">
        <v>3.5</v>
      </c>
      <c r="U16" s="151">
        <v>9.5</v>
      </c>
    </row>
    <row r="17" spans="1:21" s="111" customFormat="1" ht="20.100000000000001" customHeight="1" thickBot="1">
      <c r="A17" s="104" t="s">
        <v>58</v>
      </c>
      <c r="B17" s="152">
        <f>30.5</f>
        <v>30.5</v>
      </c>
      <c r="C17" s="167">
        <f>(40245)*0.001</f>
        <v>40.244999999999997</v>
      </c>
      <c r="D17" s="167">
        <f>(37018)*0.001</f>
        <v>37.018000000000001</v>
      </c>
      <c r="E17" s="271">
        <f>(31356)*0.001</f>
        <v>31.356000000000002</v>
      </c>
      <c r="F17" s="167">
        <f>(30260)*0.001</f>
        <v>30.26</v>
      </c>
      <c r="G17" s="167">
        <f>(27326)*0.001</f>
        <v>27.326000000000001</v>
      </c>
      <c r="H17" s="167">
        <f>(27552)*0.001</f>
        <v>27.552</v>
      </c>
      <c r="I17" s="272">
        <f>(38854)*0.001</f>
        <v>38.853999999999999</v>
      </c>
      <c r="J17" s="273">
        <f>(34685)*0.001</f>
        <v>34.685000000000002</v>
      </c>
      <c r="K17" s="152">
        <v>240.5</v>
      </c>
      <c r="L17" s="152">
        <v>285.7</v>
      </c>
      <c r="M17" s="153">
        <v>281.10000000000002</v>
      </c>
      <c r="N17" s="152">
        <v>229</v>
      </c>
      <c r="O17" s="152">
        <v>260.89999999999998</v>
      </c>
      <c r="P17" s="152">
        <v>107.2</v>
      </c>
      <c r="Q17" s="153">
        <v>87.6</v>
      </c>
      <c r="R17" s="152">
        <v>211.3</v>
      </c>
      <c r="S17" s="152">
        <v>236.5</v>
      </c>
      <c r="T17" s="152">
        <v>238.4</v>
      </c>
      <c r="U17" s="153">
        <v>232.7</v>
      </c>
    </row>
    <row r="18" spans="1:21" s="121" customFormat="1" ht="24.95" customHeight="1" thickBot="1">
      <c r="A18" s="19" t="s">
        <v>59</v>
      </c>
      <c r="B18" s="154">
        <f t="shared" ref="B18:I18" si="0">(SUM(B5:B17))</f>
        <v>4228.9560000000001</v>
      </c>
      <c r="C18" s="154">
        <f t="shared" si="0"/>
        <v>4425.1450000000004</v>
      </c>
      <c r="D18" s="154">
        <f t="shared" si="0"/>
        <v>4456.701</v>
      </c>
      <c r="E18" s="155">
        <f t="shared" si="0"/>
        <v>4476.1480000000001</v>
      </c>
      <c r="F18" s="154">
        <f t="shared" si="0"/>
        <v>4424.8490000000011</v>
      </c>
      <c r="G18" s="154">
        <f t="shared" si="0"/>
        <v>4428.5439999999999</v>
      </c>
      <c r="H18" s="154">
        <f t="shared" si="0"/>
        <v>4436.0960000000005</v>
      </c>
      <c r="I18" s="154">
        <f t="shared" si="0"/>
        <v>4455.8450000000003</v>
      </c>
      <c r="J18" s="278">
        <f>(SUM(J5:J17))</f>
        <v>4454.3520000000008</v>
      </c>
      <c r="K18" s="154">
        <f t="shared" ref="K18:L18" si="1">SUM(K5:K17)</f>
        <v>23391.8</v>
      </c>
      <c r="L18" s="154">
        <f t="shared" si="1"/>
        <v>23581.399999999998</v>
      </c>
      <c r="M18" s="155">
        <f t="shared" ref="M18:R18" si="2">(SUM(M5:M17))-M16</f>
        <v>23356.1</v>
      </c>
      <c r="N18" s="154">
        <f t="shared" si="2"/>
        <v>23132</v>
      </c>
      <c r="O18" s="154">
        <f t="shared" si="2"/>
        <v>22867.599999999999</v>
      </c>
      <c r="P18" s="154">
        <f t="shared" si="2"/>
        <v>22396.3</v>
      </c>
      <c r="Q18" s="155">
        <f t="shared" si="2"/>
        <v>22261.199999999997</v>
      </c>
      <c r="R18" s="154">
        <f t="shared" si="2"/>
        <v>24489.499999999996</v>
      </c>
      <c r="S18" s="154">
        <f t="shared" ref="S18:U18" si="3">(SUM(S5:S17))-S16</f>
        <v>24377.8</v>
      </c>
      <c r="T18" s="154">
        <f t="shared" si="3"/>
        <v>24047.600000000002</v>
      </c>
      <c r="U18" s="155">
        <f t="shared" si="3"/>
        <v>23958.899999999998</v>
      </c>
    </row>
    <row r="19" spans="1:21" s="121" customFormat="1" ht="20.100000000000001" customHeight="1">
      <c r="A19" s="104" t="s">
        <v>60</v>
      </c>
      <c r="B19" s="156">
        <f>176.114</f>
        <v>176.114</v>
      </c>
      <c r="C19" s="167">
        <f>(167251)*0.001</f>
        <v>167.251</v>
      </c>
      <c r="D19" s="167">
        <f>(171461)*0.001</f>
        <v>171.46100000000001</v>
      </c>
      <c r="E19" s="271">
        <f>(141652)*0.001</f>
        <v>141.65200000000002</v>
      </c>
      <c r="F19" s="167">
        <f>(155399)*0.001</f>
        <v>155.399</v>
      </c>
      <c r="G19" s="167">
        <f>(170743)*0.001</f>
        <v>170.74299999999999</v>
      </c>
      <c r="H19" s="167">
        <f>(208533)*0.001</f>
        <v>208.53300000000002</v>
      </c>
      <c r="I19" s="272">
        <f>(181341)*0.001</f>
        <v>181.34100000000001</v>
      </c>
      <c r="J19" s="273">
        <f>(228936)*0.001</f>
        <v>228.93600000000001</v>
      </c>
      <c r="K19" s="156">
        <v>199.1</v>
      </c>
      <c r="L19" s="156">
        <v>172.6</v>
      </c>
      <c r="M19" s="157">
        <v>152.1</v>
      </c>
      <c r="N19" s="156">
        <v>163.1</v>
      </c>
      <c r="O19" s="156">
        <v>170.4</v>
      </c>
      <c r="P19" s="156">
        <v>255.6</v>
      </c>
      <c r="Q19" s="157">
        <v>192.2</v>
      </c>
      <c r="R19" s="156">
        <v>234.7</v>
      </c>
      <c r="S19" s="156">
        <v>163.5</v>
      </c>
      <c r="T19" s="156">
        <v>219.1</v>
      </c>
      <c r="U19" s="157">
        <v>192</v>
      </c>
    </row>
    <row r="20" spans="1:21" s="111" customFormat="1" ht="20.100000000000001" customHeight="1">
      <c r="A20" s="104" t="s">
        <v>61</v>
      </c>
      <c r="B20" s="147">
        <f>185.376</f>
        <v>185.376</v>
      </c>
      <c r="C20" s="167">
        <f>(185528)*0.001</f>
        <v>185.52799999999999</v>
      </c>
      <c r="D20" s="167">
        <f>(177054)*0.001</f>
        <v>177.054</v>
      </c>
      <c r="E20" s="271">
        <f>(161974)*0.001</f>
        <v>161.97399999999999</v>
      </c>
      <c r="F20" s="167">
        <f>(150701)*0.001</f>
        <v>150.70099999999999</v>
      </c>
      <c r="G20" s="167">
        <f>(157445)*0.001</f>
        <v>157.44499999999999</v>
      </c>
      <c r="H20" s="167">
        <f>(155698)*0.001</f>
        <v>155.69800000000001</v>
      </c>
      <c r="I20" s="272">
        <f>(146771)*0.001</f>
        <v>146.77100000000002</v>
      </c>
      <c r="J20" s="273">
        <f>(163072)*0.001</f>
        <v>163.072</v>
      </c>
      <c r="K20" s="147">
        <v>343.8</v>
      </c>
      <c r="L20" s="147">
        <v>316.60000000000002</v>
      </c>
      <c r="M20" s="148">
        <v>301.39999999999998</v>
      </c>
      <c r="N20" s="147">
        <v>252.9</v>
      </c>
      <c r="O20" s="147">
        <v>261.7</v>
      </c>
      <c r="P20" s="147">
        <v>264.10000000000002</v>
      </c>
      <c r="Q20" s="148">
        <v>281</v>
      </c>
      <c r="R20" s="147">
        <v>260.2</v>
      </c>
      <c r="S20" s="147">
        <v>270</v>
      </c>
      <c r="T20" s="147">
        <v>281</v>
      </c>
      <c r="U20" s="148">
        <v>278.7</v>
      </c>
    </row>
    <row r="21" spans="1:21" s="111" customFormat="1" ht="20.100000000000001" customHeight="1">
      <c r="A21" s="104" t="s">
        <v>62</v>
      </c>
      <c r="B21" s="147">
        <f>1.102</f>
        <v>1.1020000000000001</v>
      </c>
      <c r="C21" s="149">
        <f>0</f>
        <v>0</v>
      </c>
      <c r="D21" s="149">
        <f>0</f>
        <v>0</v>
      </c>
      <c r="E21" s="148">
        <f>0</f>
        <v>0</v>
      </c>
      <c r="F21" s="149">
        <f>0</f>
        <v>0</v>
      </c>
      <c r="G21" s="149">
        <f>0</f>
        <v>0</v>
      </c>
      <c r="H21" s="149">
        <f>0</f>
        <v>0</v>
      </c>
      <c r="I21" s="274">
        <v>0</v>
      </c>
      <c r="J21" s="275">
        <v>0</v>
      </c>
      <c r="K21" s="158">
        <v>0</v>
      </c>
      <c r="L21" s="158">
        <v>0</v>
      </c>
      <c r="M21" s="148">
        <f>0*($A$71)</f>
        <v>0</v>
      </c>
      <c r="N21" s="149">
        <f>0*($A$71)</f>
        <v>0</v>
      </c>
      <c r="O21" s="149">
        <v>0</v>
      </c>
      <c r="P21" s="158">
        <v>0</v>
      </c>
      <c r="Q21" s="148">
        <v>0</v>
      </c>
      <c r="R21" s="149">
        <v>0</v>
      </c>
      <c r="S21" s="149">
        <v>0</v>
      </c>
      <c r="T21" s="149">
        <v>0</v>
      </c>
      <c r="U21" s="148">
        <v>0</v>
      </c>
    </row>
    <row r="22" spans="1:21" s="111" customFormat="1" ht="20.100000000000001" customHeight="1">
      <c r="A22" s="104" t="s">
        <v>152</v>
      </c>
      <c r="B22" s="147">
        <f>342.386</f>
        <v>342.38600000000002</v>
      </c>
      <c r="C22" s="167">
        <f>(382365)*0.001</f>
        <v>382.36500000000001</v>
      </c>
      <c r="D22" s="167">
        <f>(376949)*0.001</f>
        <v>376.94900000000001</v>
      </c>
      <c r="E22" s="271">
        <f>(375659)*0.001</f>
        <v>375.65899999999999</v>
      </c>
      <c r="F22" s="167">
        <f>(403593)*0.001</f>
        <v>403.59300000000002</v>
      </c>
      <c r="G22" s="167">
        <f>(410902)*0.001</f>
        <v>410.90199999999999</v>
      </c>
      <c r="H22" s="167">
        <f>(401503)*0.001</f>
        <v>401.50299999999999</v>
      </c>
      <c r="I22" s="272">
        <f>(374424)*0.001</f>
        <v>374.42400000000004</v>
      </c>
      <c r="J22" s="273">
        <f>(398589)*0.001</f>
        <v>398.589</v>
      </c>
      <c r="K22" s="147">
        <v>1374.4</v>
      </c>
      <c r="L22" s="147">
        <v>1369.9</v>
      </c>
      <c r="M22" s="148">
        <v>1453.4</v>
      </c>
      <c r="N22" s="147">
        <v>1599.5</v>
      </c>
      <c r="O22" s="147">
        <v>1988.6</v>
      </c>
      <c r="P22" s="147">
        <v>1699.4</v>
      </c>
      <c r="Q22" s="148">
        <v>1619.1</v>
      </c>
      <c r="R22" s="147">
        <v>1503.9</v>
      </c>
      <c r="S22" s="147">
        <v>1541.1</v>
      </c>
      <c r="T22" s="147">
        <v>1571.8</v>
      </c>
      <c r="U22" s="148">
        <v>1688</v>
      </c>
    </row>
    <row r="23" spans="1:21" s="111" customFormat="1" ht="20.100000000000001" customHeight="1">
      <c r="A23" s="104" t="s">
        <v>63</v>
      </c>
      <c r="B23" s="147">
        <f>9.894</f>
        <v>9.8940000000000001</v>
      </c>
      <c r="C23" s="167">
        <f>(263)*0.001</f>
        <v>0.26300000000000001</v>
      </c>
      <c r="D23" s="167">
        <f>(321)*0.001</f>
        <v>0.32100000000000001</v>
      </c>
      <c r="E23" s="271">
        <f>(6494)*0.001</f>
        <v>6.4939999999999998</v>
      </c>
      <c r="F23" s="167">
        <f>(1372)*0.001</f>
        <v>1.3720000000000001</v>
      </c>
      <c r="G23" s="167">
        <f>(1952)*0.001</f>
        <v>1.952</v>
      </c>
      <c r="H23" s="167">
        <f>(1195)*0.001</f>
        <v>1.1950000000000001</v>
      </c>
      <c r="I23" s="272">
        <f>(183)*0.001</f>
        <v>0.183</v>
      </c>
      <c r="J23" s="273">
        <f>(365)*0.001</f>
        <v>0.36499999999999999</v>
      </c>
      <c r="K23" s="147">
        <v>28</v>
      </c>
      <c r="L23" s="147">
        <v>26</v>
      </c>
      <c r="M23" s="148">
        <v>26</v>
      </c>
      <c r="N23" s="147">
        <v>28.9</v>
      </c>
      <c r="O23" s="147">
        <v>1.5</v>
      </c>
      <c r="P23" s="147">
        <v>0.7</v>
      </c>
      <c r="Q23" s="148">
        <v>0.7</v>
      </c>
      <c r="R23" s="147">
        <v>1.9</v>
      </c>
      <c r="S23" s="147">
        <v>1.4</v>
      </c>
      <c r="T23" s="147">
        <v>0.9</v>
      </c>
      <c r="U23" s="148">
        <v>29.1</v>
      </c>
    </row>
    <row r="24" spans="1:21" s="111" customFormat="1" ht="20.100000000000001" customHeight="1">
      <c r="A24" s="104" t="s">
        <v>153</v>
      </c>
      <c r="B24" s="149">
        <v>0</v>
      </c>
      <c r="C24" s="167">
        <f>(53916)*0.001</f>
        <v>53.916000000000004</v>
      </c>
      <c r="D24" s="167">
        <f>(54038)*0.001</f>
        <v>54.038000000000004</v>
      </c>
      <c r="E24" s="271">
        <f>(57096)*0.001</f>
        <v>57.096000000000004</v>
      </c>
      <c r="F24" s="167">
        <f>(60035)*0.001</f>
        <v>60.035000000000004</v>
      </c>
      <c r="G24" s="167">
        <f>(63564)*0.001</f>
        <v>63.564</v>
      </c>
      <c r="H24" s="167">
        <f>(65852)*0.001</f>
        <v>65.852000000000004</v>
      </c>
      <c r="I24" s="272">
        <f>(70055)*0.001</f>
        <v>70.055000000000007</v>
      </c>
      <c r="J24" s="273">
        <f>(70958)*0.001</f>
        <v>70.957999999999998</v>
      </c>
      <c r="K24" s="147">
        <v>91.2</v>
      </c>
      <c r="L24" s="147">
        <v>117.3</v>
      </c>
      <c r="M24" s="148">
        <v>141.69999999999999</v>
      </c>
      <c r="N24" s="147">
        <v>165.3</v>
      </c>
      <c r="O24" s="147">
        <v>186.1</v>
      </c>
      <c r="P24" s="147">
        <v>200.4</v>
      </c>
      <c r="Q24" s="148">
        <v>212.7</v>
      </c>
      <c r="R24" s="147">
        <v>213.3</v>
      </c>
      <c r="S24" s="147">
        <v>209.1</v>
      </c>
      <c r="T24" s="147">
        <v>207.6</v>
      </c>
      <c r="U24" s="148">
        <v>207.2</v>
      </c>
    </row>
    <row r="25" spans="1:21" s="111" customFormat="1" ht="20.100000000000001" customHeight="1">
      <c r="A25" s="104" t="s">
        <v>154</v>
      </c>
      <c r="B25" s="147">
        <f>136.299</f>
        <v>136.29900000000001</v>
      </c>
      <c r="C25" s="167">
        <f>(73814)*0.001</f>
        <v>73.814000000000007</v>
      </c>
      <c r="D25" s="167">
        <f>(53239)*0.001</f>
        <v>53.239000000000004</v>
      </c>
      <c r="E25" s="271">
        <f>(71968)*0.001</f>
        <v>71.968000000000004</v>
      </c>
      <c r="F25" s="167">
        <f>(109187)*0.001</f>
        <v>109.187</v>
      </c>
      <c r="G25" s="167">
        <f>(93754)*0.001</f>
        <v>93.754000000000005</v>
      </c>
      <c r="H25" s="167">
        <f>(113708)*0.001</f>
        <v>113.708</v>
      </c>
      <c r="I25" s="272">
        <f>(105360)*0.001</f>
        <v>105.36</v>
      </c>
      <c r="J25" s="273">
        <f>(106732)*0.001</f>
        <v>106.732</v>
      </c>
      <c r="K25" s="147">
        <v>221.9</v>
      </c>
      <c r="L25" s="147">
        <v>224.2</v>
      </c>
      <c r="M25" s="148">
        <v>160.1</v>
      </c>
      <c r="N25" s="147">
        <v>212.9</v>
      </c>
      <c r="O25" s="147">
        <v>226.2</v>
      </c>
      <c r="P25" s="147">
        <v>255</v>
      </c>
      <c r="Q25" s="148">
        <v>399.5</v>
      </c>
      <c r="R25" s="147">
        <v>69.599999999999994</v>
      </c>
      <c r="S25" s="147">
        <v>62.8</v>
      </c>
      <c r="T25" s="147">
        <v>54.9</v>
      </c>
      <c r="U25" s="148">
        <v>38.700000000000003</v>
      </c>
    </row>
    <row r="26" spans="1:21" s="120" customFormat="1" ht="20.100000000000001" customHeight="1">
      <c r="A26" s="105" t="s">
        <v>57</v>
      </c>
      <c r="B26" s="149">
        <v>0</v>
      </c>
      <c r="C26" s="149">
        <f>0</f>
        <v>0</v>
      </c>
      <c r="D26" s="149">
        <v>0</v>
      </c>
      <c r="E26" s="279">
        <f>0</f>
        <v>0</v>
      </c>
      <c r="F26" s="149">
        <f>0</f>
        <v>0</v>
      </c>
      <c r="G26" s="149">
        <v>0</v>
      </c>
      <c r="H26" s="149">
        <f>0</f>
        <v>0</v>
      </c>
      <c r="I26" s="280">
        <v>0</v>
      </c>
      <c r="J26" s="275">
        <v>0</v>
      </c>
      <c r="K26" s="149">
        <f>0*($A$71)</f>
        <v>0</v>
      </c>
      <c r="L26" s="149">
        <f>0*($A$71)</f>
        <v>0</v>
      </c>
      <c r="M26" s="151">
        <v>22.2</v>
      </c>
      <c r="N26" s="150">
        <v>26.3</v>
      </c>
      <c r="O26" s="150">
        <v>27.3</v>
      </c>
      <c r="P26" s="150">
        <v>3.8</v>
      </c>
      <c r="Q26" s="151">
        <v>10.5</v>
      </c>
      <c r="R26" s="150">
        <v>0.2</v>
      </c>
      <c r="S26" s="150">
        <v>3.6</v>
      </c>
      <c r="T26" s="150">
        <v>4.8</v>
      </c>
      <c r="U26" s="151">
        <v>6.7</v>
      </c>
    </row>
    <row r="27" spans="1:21" s="111" customFormat="1" ht="20.100000000000001" customHeight="1">
      <c r="A27" s="104" t="s">
        <v>64</v>
      </c>
      <c r="B27" s="149">
        <v>0</v>
      </c>
      <c r="C27" s="149">
        <f>0</f>
        <v>0</v>
      </c>
      <c r="D27" s="149">
        <v>0</v>
      </c>
      <c r="E27" s="148">
        <v>0</v>
      </c>
      <c r="F27" s="149">
        <f>0</f>
        <v>0</v>
      </c>
      <c r="G27" s="149">
        <v>0</v>
      </c>
      <c r="H27" s="149">
        <f>0</f>
        <v>0</v>
      </c>
      <c r="I27" s="274">
        <v>0</v>
      </c>
      <c r="J27" s="275">
        <v>0</v>
      </c>
      <c r="K27" s="158">
        <v>270</v>
      </c>
      <c r="L27" s="158">
        <v>30</v>
      </c>
      <c r="M27" s="148">
        <f>0*($A$71)</f>
        <v>0</v>
      </c>
      <c r="N27" s="147">
        <v>42.7</v>
      </c>
      <c r="O27" s="147">
        <v>43.1</v>
      </c>
      <c r="P27" s="147">
        <v>0</v>
      </c>
      <c r="Q27" s="148">
        <v>0</v>
      </c>
      <c r="R27" s="147">
        <v>12.4</v>
      </c>
      <c r="S27" s="147">
        <v>0</v>
      </c>
      <c r="T27" s="147">
        <v>0</v>
      </c>
      <c r="U27" s="148">
        <v>0</v>
      </c>
    </row>
    <row r="28" spans="1:21" s="111" customFormat="1" ht="20.100000000000001" customHeight="1">
      <c r="A28" s="104" t="s">
        <v>65</v>
      </c>
      <c r="B28" s="147">
        <f>422.627</f>
        <v>422.62700000000001</v>
      </c>
      <c r="C28" s="167">
        <f>(309519)*0.001</f>
        <v>309.51900000000001</v>
      </c>
      <c r="D28" s="167">
        <f>(225111)*0.001</f>
        <v>225.11100000000002</v>
      </c>
      <c r="E28" s="271">
        <f>(270354)*0.001</f>
        <v>270.35399999999998</v>
      </c>
      <c r="F28" s="167">
        <f>(324338)*0.001</f>
        <v>324.33800000000002</v>
      </c>
      <c r="G28" s="167">
        <f>(265803)*0.001</f>
        <v>265.803</v>
      </c>
      <c r="H28" s="167">
        <f>(215396)*0.001</f>
        <v>215.39600000000002</v>
      </c>
      <c r="I28" s="272">
        <f>(342251)*0.001</f>
        <v>342.25100000000003</v>
      </c>
      <c r="J28" s="273">
        <f>(428190)*0.001</f>
        <v>428.19</v>
      </c>
      <c r="K28" s="147">
        <v>1894.3</v>
      </c>
      <c r="L28" s="147">
        <v>1631</v>
      </c>
      <c r="M28" s="148">
        <v>1735.3</v>
      </c>
      <c r="N28" s="147">
        <v>1478.9</v>
      </c>
      <c r="O28" s="147">
        <v>1383.8</v>
      </c>
      <c r="P28" s="147">
        <v>1059.5999999999999</v>
      </c>
      <c r="Q28" s="148">
        <v>1512</v>
      </c>
      <c r="R28" s="147">
        <v>1538.6</v>
      </c>
      <c r="S28" s="147">
        <v>944.5</v>
      </c>
      <c r="T28" s="147">
        <v>1099.4000000000001</v>
      </c>
      <c r="U28" s="148">
        <v>1326</v>
      </c>
    </row>
    <row r="29" spans="1:21" s="111" customFormat="1" ht="20.100000000000001" customHeight="1" thickBot="1">
      <c r="A29" s="104" t="s">
        <v>66</v>
      </c>
      <c r="B29" s="149">
        <v>0</v>
      </c>
      <c r="C29" s="149">
        <f>0</f>
        <v>0</v>
      </c>
      <c r="D29" s="149">
        <f>0</f>
        <v>0</v>
      </c>
      <c r="E29" s="148">
        <v>0</v>
      </c>
      <c r="F29" s="149">
        <f>0</f>
        <v>0</v>
      </c>
      <c r="G29" s="149">
        <v>0</v>
      </c>
      <c r="H29" s="149">
        <f>0</f>
        <v>0</v>
      </c>
      <c r="I29" s="274">
        <v>0</v>
      </c>
      <c r="J29" s="275">
        <v>0</v>
      </c>
      <c r="K29" s="158">
        <v>12.6</v>
      </c>
      <c r="L29" s="158">
        <v>12.2</v>
      </c>
      <c r="M29" s="148">
        <v>12.6</v>
      </c>
      <c r="N29" s="147">
        <v>12.7</v>
      </c>
      <c r="O29" s="147">
        <v>12.8</v>
      </c>
      <c r="P29" s="158">
        <v>12.4</v>
      </c>
      <c r="Q29" s="148">
        <v>11.7</v>
      </c>
      <c r="R29" s="147">
        <v>31.4</v>
      </c>
      <c r="S29" s="147">
        <v>10.9</v>
      </c>
      <c r="T29" s="147">
        <v>10.8</v>
      </c>
      <c r="U29" s="148">
        <v>10.7</v>
      </c>
    </row>
    <row r="30" spans="1:21" s="121" customFormat="1" ht="24.95" customHeight="1" thickBot="1">
      <c r="A30" s="19" t="s">
        <v>67</v>
      </c>
      <c r="B30" s="154">
        <f t="shared" ref="B30:L30" si="4">SUM(B19:B29)</f>
        <v>1273.798</v>
      </c>
      <c r="C30" s="154">
        <f t="shared" si="4"/>
        <v>1172.6559999999999</v>
      </c>
      <c r="D30" s="154">
        <f t="shared" si="4"/>
        <v>1058.173</v>
      </c>
      <c r="E30" s="155">
        <f t="shared" si="4"/>
        <v>1085.1969999999999</v>
      </c>
      <c r="F30" s="154">
        <f t="shared" si="4"/>
        <v>1204.625</v>
      </c>
      <c r="G30" s="154">
        <f t="shared" si="4"/>
        <v>1164.163</v>
      </c>
      <c r="H30" s="154">
        <f t="shared" si="4"/>
        <v>1161.885</v>
      </c>
      <c r="I30" s="154">
        <f t="shared" si="4"/>
        <v>1220.3850000000002</v>
      </c>
      <c r="J30" s="278">
        <f t="shared" si="4"/>
        <v>1396.8419999999999</v>
      </c>
      <c r="K30" s="154">
        <f t="shared" si="4"/>
        <v>4435.3</v>
      </c>
      <c r="L30" s="154">
        <f t="shared" si="4"/>
        <v>3899.7999999999997</v>
      </c>
      <c r="M30" s="155">
        <f t="shared" ref="M30:R30" si="5">SUM(M19:M29)-M26</f>
        <v>3982.6</v>
      </c>
      <c r="N30" s="154">
        <f t="shared" si="5"/>
        <v>3956.9</v>
      </c>
      <c r="O30" s="154">
        <f t="shared" si="5"/>
        <v>4274.2</v>
      </c>
      <c r="P30" s="154">
        <f t="shared" si="5"/>
        <v>3747.2000000000003</v>
      </c>
      <c r="Q30" s="155">
        <f t="shared" si="5"/>
        <v>4228.8999999999987</v>
      </c>
      <c r="R30" s="154">
        <f t="shared" si="5"/>
        <v>3866.0000000000005</v>
      </c>
      <c r="S30" s="154">
        <f t="shared" ref="S30" si="6">SUM(S19:S29)-S26</f>
        <v>3203.3</v>
      </c>
      <c r="T30" s="154">
        <f t="shared" ref="T30" si="7">SUM(T19:T29)-T26</f>
        <v>3445.5000000000005</v>
      </c>
      <c r="U30" s="155">
        <f t="shared" ref="U30" si="8">SUM(U19:U29)-U26</f>
        <v>3770.3999999999992</v>
      </c>
    </row>
    <row r="31" spans="1:21" s="111" customFormat="1" ht="24.95" customHeight="1" thickBot="1">
      <c r="A31" s="122" t="s">
        <v>68</v>
      </c>
      <c r="B31" s="159">
        <f t="shared" ref="B31:P31" si="9">B18+B30</f>
        <v>5502.7539999999999</v>
      </c>
      <c r="C31" s="159">
        <f t="shared" si="9"/>
        <v>5597.8010000000004</v>
      </c>
      <c r="D31" s="159">
        <f t="shared" si="9"/>
        <v>5514.8739999999998</v>
      </c>
      <c r="E31" s="160">
        <f t="shared" si="9"/>
        <v>5561.3450000000003</v>
      </c>
      <c r="F31" s="159">
        <f t="shared" si="9"/>
        <v>5629.4740000000011</v>
      </c>
      <c r="G31" s="159">
        <f t="shared" si="9"/>
        <v>5592.7070000000003</v>
      </c>
      <c r="H31" s="159">
        <f t="shared" si="9"/>
        <v>5597.9810000000007</v>
      </c>
      <c r="I31" s="281">
        <f t="shared" si="9"/>
        <v>5676.2300000000005</v>
      </c>
      <c r="J31" s="282">
        <f t="shared" si="9"/>
        <v>5851.1940000000004</v>
      </c>
      <c r="K31" s="159">
        <f t="shared" si="9"/>
        <v>27827.1</v>
      </c>
      <c r="L31" s="159">
        <f t="shared" si="9"/>
        <v>27481.199999999997</v>
      </c>
      <c r="M31" s="160">
        <f t="shared" si="9"/>
        <v>27338.699999999997</v>
      </c>
      <c r="N31" s="159">
        <f t="shared" si="9"/>
        <v>27088.9</v>
      </c>
      <c r="O31" s="159">
        <f t="shared" si="9"/>
        <v>27141.8</v>
      </c>
      <c r="P31" s="159">
        <f t="shared" si="9"/>
        <v>26143.5</v>
      </c>
      <c r="Q31" s="161">
        <f t="shared" ref="Q31:R31" si="10">Q18+Q30</f>
        <v>26490.099999999995</v>
      </c>
      <c r="R31" s="159">
        <f t="shared" si="10"/>
        <v>28355.499999999996</v>
      </c>
      <c r="S31" s="159">
        <f t="shared" ref="S31" si="11">S18+S30</f>
        <v>27581.1</v>
      </c>
      <c r="T31" s="159">
        <f t="shared" ref="T31:U31" si="12">T18+T30</f>
        <v>27493.100000000002</v>
      </c>
      <c r="U31" s="161">
        <f t="shared" si="12"/>
        <v>27729.299999999996</v>
      </c>
    </row>
    <row r="32" spans="1:21" s="111" customFormat="1" ht="33.75" customHeight="1" thickBot="1">
      <c r="A32" s="78" t="s">
        <v>69</v>
      </c>
      <c r="B32" s="172"/>
      <c r="C32" s="172"/>
      <c r="D32" s="172"/>
      <c r="E32" s="173"/>
      <c r="F32" s="172"/>
      <c r="G32" s="172"/>
      <c r="H32" s="172"/>
      <c r="I32" s="174"/>
      <c r="J32" s="175"/>
      <c r="K32" s="162"/>
      <c r="L32" s="162"/>
      <c r="M32" s="163"/>
      <c r="N32" s="164"/>
      <c r="O32" s="164"/>
      <c r="P32" s="162"/>
      <c r="Q32" s="165"/>
      <c r="R32" s="164"/>
      <c r="S32" s="164"/>
      <c r="T32" s="164"/>
      <c r="U32" s="165"/>
    </row>
    <row r="33" spans="1:21" s="111" customFormat="1" ht="20.100000000000001" customHeight="1">
      <c r="A33" s="104" t="s">
        <v>70</v>
      </c>
      <c r="B33" s="283">
        <f>13.934</f>
        <v>13.933999999999999</v>
      </c>
      <c r="C33" s="283">
        <f t="shared" ref="C33:J33" si="13">(13934)*0.001</f>
        <v>13.934000000000001</v>
      </c>
      <c r="D33" s="283">
        <f t="shared" si="13"/>
        <v>13.934000000000001</v>
      </c>
      <c r="E33" s="284">
        <f t="shared" si="13"/>
        <v>13.934000000000001</v>
      </c>
      <c r="F33" s="283">
        <f t="shared" si="13"/>
        <v>13.934000000000001</v>
      </c>
      <c r="G33" s="283">
        <f t="shared" si="13"/>
        <v>13.934000000000001</v>
      </c>
      <c r="H33" s="283">
        <f t="shared" si="13"/>
        <v>13.934000000000001</v>
      </c>
      <c r="I33" s="285">
        <f t="shared" si="13"/>
        <v>13.934000000000001</v>
      </c>
      <c r="J33" s="286">
        <f t="shared" si="13"/>
        <v>13.934000000000001</v>
      </c>
      <c r="K33" s="156">
        <v>25.6</v>
      </c>
      <c r="L33" s="156">
        <v>25.6</v>
      </c>
      <c r="M33" s="157">
        <v>25.6</v>
      </c>
      <c r="N33" s="156">
        <v>25.6</v>
      </c>
      <c r="O33" s="156">
        <v>25.6</v>
      </c>
      <c r="P33" s="156">
        <v>25.6</v>
      </c>
      <c r="Q33" s="157">
        <v>25.6</v>
      </c>
      <c r="R33" s="156">
        <v>25.6</v>
      </c>
      <c r="S33" s="156">
        <v>25.6</v>
      </c>
      <c r="T33" s="156">
        <v>25.6</v>
      </c>
      <c r="U33" s="157">
        <v>25.6</v>
      </c>
    </row>
    <row r="34" spans="1:21" s="111" customFormat="1" ht="20.100000000000001" customHeight="1">
      <c r="A34" s="104" t="s">
        <v>71</v>
      </c>
      <c r="B34" s="167">
        <f>432.265</f>
        <v>432.26499999999999</v>
      </c>
      <c r="C34" s="158">
        <v>0</v>
      </c>
      <c r="D34" s="158">
        <v>0</v>
      </c>
      <c r="E34" s="166">
        <v>0</v>
      </c>
      <c r="F34" s="158">
        <v>0</v>
      </c>
      <c r="G34" s="158">
        <v>0</v>
      </c>
      <c r="H34" s="158">
        <v>0</v>
      </c>
      <c r="I34" s="287">
        <v>0</v>
      </c>
      <c r="J34" s="288">
        <v>0</v>
      </c>
      <c r="K34" s="158">
        <v>0</v>
      </c>
      <c r="L34" s="158">
        <v>0</v>
      </c>
      <c r="M34" s="166">
        <v>0</v>
      </c>
      <c r="N34" s="158">
        <v>0</v>
      </c>
      <c r="O34" s="158">
        <v>0</v>
      </c>
      <c r="P34" s="158">
        <v>0</v>
      </c>
      <c r="Q34" s="148">
        <v>0</v>
      </c>
      <c r="R34" s="158">
        <v>0</v>
      </c>
      <c r="S34" s="158">
        <v>0</v>
      </c>
      <c r="T34" s="158">
        <v>0</v>
      </c>
      <c r="U34" s="148">
        <v>0</v>
      </c>
    </row>
    <row r="35" spans="1:21" s="111" customFormat="1" ht="20.100000000000001" customHeight="1">
      <c r="A35" s="104" t="s">
        <v>72</v>
      </c>
      <c r="B35" s="167">
        <f>1305.277</f>
        <v>1305.277</v>
      </c>
      <c r="C35" s="158">
        <v>0</v>
      </c>
      <c r="D35" s="158">
        <v>0</v>
      </c>
      <c r="E35" s="166">
        <v>0</v>
      </c>
      <c r="F35" s="158">
        <v>0</v>
      </c>
      <c r="G35" s="158">
        <v>0</v>
      </c>
      <c r="H35" s="158">
        <v>0</v>
      </c>
      <c r="I35" s="287">
        <v>0</v>
      </c>
      <c r="J35" s="288">
        <v>0</v>
      </c>
      <c r="K35" s="158">
        <v>0</v>
      </c>
      <c r="L35" s="158">
        <v>0</v>
      </c>
      <c r="M35" s="166">
        <v>0</v>
      </c>
      <c r="N35" s="158">
        <v>0</v>
      </c>
      <c r="O35" s="158">
        <v>0</v>
      </c>
      <c r="P35" s="158">
        <v>0</v>
      </c>
      <c r="Q35" s="148">
        <v>0</v>
      </c>
      <c r="R35" s="158">
        <v>0</v>
      </c>
      <c r="S35" s="158">
        <v>0</v>
      </c>
      <c r="T35" s="158">
        <v>0</v>
      </c>
      <c r="U35" s="148">
        <v>0</v>
      </c>
    </row>
    <row r="36" spans="1:21" s="111" customFormat="1" ht="20.100000000000001" customHeight="1">
      <c r="A36" s="104" t="s">
        <v>155</v>
      </c>
      <c r="B36" s="158">
        <v>0</v>
      </c>
      <c r="C36" s="167">
        <f t="shared" ref="C36:J36" si="14">(1295103)*0.001</f>
        <v>1295.1030000000001</v>
      </c>
      <c r="D36" s="167">
        <f t="shared" si="14"/>
        <v>1295.1030000000001</v>
      </c>
      <c r="E36" s="168">
        <f t="shared" si="14"/>
        <v>1295.1030000000001</v>
      </c>
      <c r="F36" s="167">
        <f t="shared" si="14"/>
        <v>1295.1030000000001</v>
      </c>
      <c r="G36" s="167">
        <f t="shared" si="14"/>
        <v>1295.1030000000001</v>
      </c>
      <c r="H36" s="167">
        <f t="shared" si="14"/>
        <v>1295.1030000000001</v>
      </c>
      <c r="I36" s="168">
        <f t="shared" si="14"/>
        <v>1295.1030000000001</v>
      </c>
      <c r="J36" s="167">
        <f t="shared" si="14"/>
        <v>1295.1030000000001</v>
      </c>
      <c r="K36" s="167">
        <v>7237.5</v>
      </c>
      <c r="L36" s="167">
        <v>7237.5</v>
      </c>
      <c r="M36" s="148">
        <v>7174</v>
      </c>
      <c r="N36" s="147">
        <v>7237.4</v>
      </c>
      <c r="O36" s="147">
        <v>7174</v>
      </c>
      <c r="P36" s="147">
        <v>7174</v>
      </c>
      <c r="Q36" s="148">
        <v>7174</v>
      </c>
      <c r="R36" s="147">
        <v>7174</v>
      </c>
      <c r="S36" s="147">
        <v>7174</v>
      </c>
      <c r="T36" s="147">
        <v>7174</v>
      </c>
      <c r="U36" s="148">
        <v>7174</v>
      </c>
    </row>
    <row r="37" spans="1:21" s="111" customFormat="1" ht="20.100000000000001" customHeight="1">
      <c r="A37" s="104" t="s">
        <v>73</v>
      </c>
      <c r="B37" s="167">
        <f>-3.17</f>
        <v>-3.17</v>
      </c>
      <c r="C37" s="158">
        <v>0</v>
      </c>
      <c r="D37" s="158">
        <v>0</v>
      </c>
      <c r="E37" s="166">
        <v>0</v>
      </c>
      <c r="F37" s="158">
        <v>0</v>
      </c>
      <c r="G37" s="158">
        <v>0</v>
      </c>
      <c r="H37" s="158">
        <v>0</v>
      </c>
      <c r="I37" s="287">
        <v>0</v>
      </c>
      <c r="J37" s="288">
        <v>0</v>
      </c>
      <c r="K37" s="158">
        <v>0</v>
      </c>
      <c r="L37" s="158">
        <v>0</v>
      </c>
      <c r="M37" s="166">
        <v>0</v>
      </c>
      <c r="N37" s="158">
        <v>0</v>
      </c>
      <c r="O37" s="158">
        <v>0</v>
      </c>
      <c r="P37" s="158">
        <v>0</v>
      </c>
      <c r="Q37" s="148">
        <v>0</v>
      </c>
      <c r="R37" s="158">
        <v>0</v>
      </c>
      <c r="S37" s="158">
        <v>0</v>
      </c>
      <c r="T37" s="158">
        <v>0</v>
      </c>
      <c r="U37" s="148">
        <v>0</v>
      </c>
    </row>
    <row r="38" spans="1:21" s="111" customFormat="1" ht="20.100000000000001" customHeight="1">
      <c r="A38" s="104" t="s">
        <v>74</v>
      </c>
      <c r="B38" s="167">
        <f>2.396</f>
        <v>2.3959999999999999</v>
      </c>
      <c r="C38" s="158">
        <v>0</v>
      </c>
      <c r="D38" s="158">
        <v>0</v>
      </c>
      <c r="E38" s="166">
        <v>0</v>
      </c>
      <c r="F38" s="158">
        <v>0</v>
      </c>
      <c r="G38" s="158">
        <v>0</v>
      </c>
      <c r="H38" s="158">
        <v>0</v>
      </c>
      <c r="I38" s="287">
        <v>0</v>
      </c>
      <c r="J38" s="288">
        <v>0</v>
      </c>
      <c r="K38" s="158">
        <v>0</v>
      </c>
      <c r="L38" s="158">
        <v>0</v>
      </c>
      <c r="M38" s="166">
        <v>0</v>
      </c>
      <c r="N38" s="158">
        <v>0</v>
      </c>
      <c r="O38" s="158">
        <v>0</v>
      </c>
      <c r="P38" s="158">
        <v>0</v>
      </c>
      <c r="Q38" s="148">
        <v>0</v>
      </c>
      <c r="R38" s="158">
        <v>0</v>
      </c>
      <c r="S38" s="158">
        <v>0</v>
      </c>
      <c r="T38" s="158">
        <v>0</v>
      </c>
      <c r="U38" s="148">
        <v>0</v>
      </c>
    </row>
    <row r="39" spans="1:21" s="111" customFormat="1" ht="20.100000000000001" customHeight="1">
      <c r="A39" s="104" t="s">
        <v>72</v>
      </c>
      <c r="B39" s="158">
        <v>0</v>
      </c>
      <c r="C39" s="167">
        <f>(1225)*0.001</f>
        <v>1.2250000000000001</v>
      </c>
      <c r="D39" s="167">
        <f>(-8191)*0.001</f>
        <v>-8.1910000000000007</v>
      </c>
      <c r="E39" s="271">
        <f>(-16327)*0.001</f>
        <v>-16.327000000000002</v>
      </c>
      <c r="F39" s="167">
        <f>(-17667)*0.001</f>
        <v>-17.667000000000002</v>
      </c>
      <c r="G39" s="167">
        <f>(-13285)*0.001</f>
        <v>-13.285</v>
      </c>
      <c r="H39" s="167">
        <f>(-11455)*0.001</f>
        <v>-11.455</v>
      </c>
      <c r="I39" s="272">
        <f>(-8964)*0.001</f>
        <v>-8.9640000000000004</v>
      </c>
      <c r="J39" s="288">
        <v>0</v>
      </c>
      <c r="K39" s="158">
        <v>0</v>
      </c>
      <c r="L39" s="167">
        <v>-9.1999999999999993</v>
      </c>
      <c r="M39" s="148">
        <v>-12.2</v>
      </c>
      <c r="N39" s="167">
        <v>-12.7</v>
      </c>
      <c r="O39" s="167">
        <v>-7.9</v>
      </c>
      <c r="P39" s="167">
        <v>-8.1999999999999993</v>
      </c>
      <c r="Q39" s="168">
        <v>-3.7</v>
      </c>
      <c r="R39" s="167">
        <v>-1.7</v>
      </c>
      <c r="S39" s="167">
        <v>0.1</v>
      </c>
      <c r="T39" s="167">
        <v>2.2000000000000002</v>
      </c>
      <c r="U39" s="168">
        <v>4.5</v>
      </c>
    </row>
    <row r="40" spans="1:21" s="111" customFormat="1" ht="20.100000000000001" customHeight="1" thickBot="1">
      <c r="A40" s="104" t="s">
        <v>75</v>
      </c>
      <c r="B40" s="167">
        <f>340.065</f>
        <v>340.065</v>
      </c>
      <c r="C40" s="167">
        <f>(882007)*0.001</f>
        <v>882.00700000000006</v>
      </c>
      <c r="D40" s="167">
        <f>(1054069)*0.001</f>
        <v>1054.069</v>
      </c>
      <c r="E40" s="168">
        <f>(1175693)*0.001</f>
        <v>1175.693</v>
      </c>
      <c r="F40" s="167">
        <f>(1270798)*0.001</f>
        <v>1270.798</v>
      </c>
      <c r="G40" s="167">
        <f>(1351543)*0.001</f>
        <v>1351.5430000000001</v>
      </c>
      <c r="H40" s="167">
        <f>(1527994)*0.001</f>
        <v>1527.9940000000001</v>
      </c>
      <c r="I40" s="168">
        <f>(1701138)*0.001</f>
        <v>1701.1380000000001</v>
      </c>
      <c r="J40" s="167">
        <f>(1799310)*0.001</f>
        <v>1799.31</v>
      </c>
      <c r="K40" s="167">
        <v>1828.6</v>
      </c>
      <c r="L40" s="167">
        <v>1876.8</v>
      </c>
      <c r="M40" s="148">
        <v>1890.8</v>
      </c>
      <c r="N40" s="167">
        <v>2061.6</v>
      </c>
      <c r="O40" s="167">
        <v>2366.1</v>
      </c>
      <c r="P40" s="167">
        <v>2868.6</v>
      </c>
      <c r="Q40" s="168">
        <v>3054.2</v>
      </c>
      <c r="R40" s="167">
        <v>3229.7</v>
      </c>
      <c r="S40" s="167">
        <v>3467.4</v>
      </c>
      <c r="T40" s="167">
        <v>3745.6</v>
      </c>
      <c r="U40" s="168">
        <v>4095.5</v>
      </c>
    </row>
    <row r="41" spans="1:21" s="121" customFormat="1" ht="24.95" customHeight="1" thickBot="1">
      <c r="A41" s="19" t="s">
        <v>76</v>
      </c>
      <c r="B41" s="154">
        <f t="shared" ref="B41:C41" si="15">SUM(B33:B40)</f>
        <v>2090.7669999999998</v>
      </c>
      <c r="C41" s="154">
        <f t="shared" si="15"/>
        <v>2192.2690000000002</v>
      </c>
      <c r="D41" s="154">
        <f t="shared" ref="D41:H41" si="16">SUM(D33:D40)</f>
        <v>2354.915</v>
      </c>
      <c r="E41" s="155">
        <f t="shared" si="16"/>
        <v>2468.4030000000002</v>
      </c>
      <c r="F41" s="154">
        <f t="shared" si="16"/>
        <v>2562.1680000000001</v>
      </c>
      <c r="G41" s="154">
        <f t="shared" si="16"/>
        <v>2647.2950000000001</v>
      </c>
      <c r="H41" s="154">
        <f t="shared" si="16"/>
        <v>2825.576</v>
      </c>
      <c r="I41" s="154">
        <f t="shared" ref="I41:J41" si="17">SUM(I33:I40)</f>
        <v>3001.2110000000002</v>
      </c>
      <c r="J41" s="278">
        <f t="shared" si="17"/>
        <v>3108.3469999999998</v>
      </c>
      <c r="K41" s="154">
        <f t="shared" ref="K41:Q41" si="18">SUM(K33:K40)</f>
        <v>9091.7000000000007</v>
      </c>
      <c r="L41" s="154">
        <f t="shared" si="18"/>
        <v>9130.7000000000007</v>
      </c>
      <c r="M41" s="155">
        <f t="shared" si="18"/>
        <v>9078.2000000000007</v>
      </c>
      <c r="N41" s="154">
        <f t="shared" si="18"/>
        <v>9311.9</v>
      </c>
      <c r="O41" s="154">
        <f t="shared" si="18"/>
        <v>9557.8000000000011</v>
      </c>
      <c r="P41" s="154">
        <f t="shared" si="18"/>
        <v>10060</v>
      </c>
      <c r="Q41" s="155">
        <f t="shared" si="18"/>
        <v>10250.1</v>
      </c>
      <c r="R41" s="154">
        <f t="shared" ref="R41:U41" si="19">SUM(R33:R40)</f>
        <v>10427.6</v>
      </c>
      <c r="S41" s="154">
        <f t="shared" si="19"/>
        <v>10667.1</v>
      </c>
      <c r="T41" s="154">
        <f t="shared" si="19"/>
        <v>10947.4</v>
      </c>
      <c r="U41" s="155">
        <f t="shared" si="19"/>
        <v>11299.6</v>
      </c>
    </row>
    <row r="42" spans="1:21" s="121" customFormat="1" ht="20.100000000000001" customHeight="1" thickBot="1">
      <c r="A42" s="123" t="s">
        <v>77</v>
      </c>
      <c r="B42" s="158">
        <v>0</v>
      </c>
      <c r="C42" s="158">
        <v>0</v>
      </c>
      <c r="D42" s="158">
        <v>0</v>
      </c>
      <c r="E42" s="166">
        <v>0</v>
      </c>
      <c r="F42" s="158">
        <v>0</v>
      </c>
      <c r="G42" s="158">
        <v>0</v>
      </c>
      <c r="H42" s="176">
        <f>2/1000</f>
        <v>2E-3</v>
      </c>
      <c r="I42" s="177">
        <f>2/1000</f>
        <v>2E-3</v>
      </c>
      <c r="J42" s="178">
        <f>2/1000</f>
        <v>2E-3</v>
      </c>
      <c r="K42" s="169">
        <v>0</v>
      </c>
      <c r="L42" s="169">
        <v>0</v>
      </c>
      <c r="M42" s="166">
        <v>0</v>
      </c>
      <c r="N42" s="169">
        <v>0</v>
      </c>
      <c r="O42" s="169">
        <v>0</v>
      </c>
      <c r="P42" s="169">
        <v>0</v>
      </c>
      <c r="Q42" s="168">
        <v>0</v>
      </c>
      <c r="R42" s="169">
        <v>-22.4</v>
      </c>
      <c r="S42" s="169">
        <v>94.5</v>
      </c>
      <c r="T42" s="169">
        <v>86.1</v>
      </c>
      <c r="U42" s="168">
        <v>78</v>
      </c>
    </row>
    <row r="43" spans="1:21" s="121" customFormat="1" ht="24.95" customHeight="1" thickBot="1">
      <c r="A43" s="19" t="s">
        <v>78</v>
      </c>
      <c r="B43" s="154">
        <f t="shared" ref="B43" si="20">B41+B42</f>
        <v>2090.7669999999998</v>
      </c>
      <c r="C43" s="154">
        <f t="shared" ref="C43" si="21">C41+C42</f>
        <v>2192.2690000000002</v>
      </c>
      <c r="D43" s="154">
        <f t="shared" ref="D43" si="22">D41+D42</f>
        <v>2354.915</v>
      </c>
      <c r="E43" s="155">
        <f t="shared" ref="E43:G43" si="23">E41</f>
        <v>2468.4030000000002</v>
      </c>
      <c r="F43" s="154">
        <f t="shared" si="23"/>
        <v>2562.1680000000001</v>
      </c>
      <c r="G43" s="154">
        <f t="shared" si="23"/>
        <v>2647.2950000000001</v>
      </c>
      <c r="H43" s="154">
        <f>SUM(H41:H42)</f>
        <v>2825.578</v>
      </c>
      <c r="I43" s="154">
        <f t="shared" ref="I43:O43" si="24">I41+I42</f>
        <v>3001.2130000000002</v>
      </c>
      <c r="J43" s="278">
        <f t="shared" si="24"/>
        <v>3108.3489999999997</v>
      </c>
      <c r="K43" s="154">
        <f t="shared" si="24"/>
        <v>9091.7000000000007</v>
      </c>
      <c r="L43" s="154">
        <f t="shared" si="24"/>
        <v>9130.7000000000007</v>
      </c>
      <c r="M43" s="155">
        <f t="shared" si="24"/>
        <v>9078.2000000000007</v>
      </c>
      <c r="N43" s="154">
        <f t="shared" si="24"/>
        <v>9311.9</v>
      </c>
      <c r="O43" s="154">
        <f t="shared" si="24"/>
        <v>9557.8000000000011</v>
      </c>
      <c r="P43" s="154">
        <f t="shared" ref="P43:R43" si="25">P41+P42</f>
        <v>10060</v>
      </c>
      <c r="Q43" s="155">
        <f t="shared" si="25"/>
        <v>10250.1</v>
      </c>
      <c r="R43" s="154">
        <f t="shared" si="25"/>
        <v>10405.200000000001</v>
      </c>
      <c r="S43" s="154">
        <f t="shared" ref="S43:U43" si="26">S41+S42</f>
        <v>10761.6</v>
      </c>
      <c r="T43" s="154">
        <f t="shared" si="26"/>
        <v>11033.5</v>
      </c>
      <c r="U43" s="155">
        <f t="shared" si="26"/>
        <v>11377.6</v>
      </c>
    </row>
    <row r="44" spans="1:21" s="111" customFormat="1" ht="20.100000000000001" customHeight="1">
      <c r="A44" s="104" t="s">
        <v>79</v>
      </c>
      <c r="B44" s="167">
        <f>932.068</f>
        <v>932.06799999999998</v>
      </c>
      <c r="C44" s="167">
        <f>(889155)*0.001</f>
        <v>889.15499999999997</v>
      </c>
      <c r="D44" s="167">
        <f>(680371)*0.001</f>
        <v>680.37099999999998</v>
      </c>
      <c r="E44" s="271">
        <f>(592003)*0.001</f>
        <v>592.00300000000004</v>
      </c>
      <c r="F44" s="167">
        <f>(572819)*0.001</f>
        <v>572.81899999999996</v>
      </c>
      <c r="G44" s="167">
        <f>(422858)*0.001</f>
        <v>422.858</v>
      </c>
      <c r="H44" s="167">
        <f>(329798)*0.001</f>
        <v>329.798</v>
      </c>
      <c r="I44" s="272">
        <f>(239889)*0.001</f>
        <v>239.88900000000001</v>
      </c>
      <c r="J44" s="273">
        <f>(236277)*0.001</f>
        <v>236.27700000000002</v>
      </c>
      <c r="K44" s="147">
        <v>8446.1</v>
      </c>
      <c r="L44" s="147">
        <v>7976.3</v>
      </c>
      <c r="M44" s="148">
        <v>7683.5</v>
      </c>
      <c r="N44" s="167">
        <v>7357.9</v>
      </c>
      <c r="O44" s="167">
        <v>7034.6</v>
      </c>
      <c r="P44" s="147">
        <v>5644.9</v>
      </c>
      <c r="Q44" s="168">
        <v>5379.8</v>
      </c>
      <c r="R44" s="167">
        <v>9982.1</v>
      </c>
      <c r="S44" s="167">
        <v>9752</v>
      </c>
      <c r="T44" s="167">
        <v>9530.2999999999993</v>
      </c>
      <c r="U44" s="168">
        <v>9302.7000000000007</v>
      </c>
    </row>
    <row r="45" spans="1:21" s="111" customFormat="1" ht="20.100000000000001" customHeight="1">
      <c r="A45" s="104" t="s">
        <v>80</v>
      </c>
      <c r="B45" s="167">
        <f>1360.637</f>
        <v>1360.6369999999999</v>
      </c>
      <c r="C45" s="167">
        <f>(1369593)*0.001</f>
        <v>1369.5930000000001</v>
      </c>
      <c r="D45" s="167">
        <f>(1347224)*0.001</f>
        <v>1347.2239999999999</v>
      </c>
      <c r="E45" s="168">
        <f>(1316479)*0.001</f>
        <v>1316.479</v>
      </c>
      <c r="F45" s="167">
        <f>(1370119)*0.001</f>
        <v>1370.1190000000001</v>
      </c>
      <c r="G45" s="167">
        <f>(1395972)*0.001</f>
        <v>1395.972</v>
      </c>
      <c r="H45" s="167">
        <f>(1385314)*0.001</f>
        <v>1385.3140000000001</v>
      </c>
      <c r="I45" s="168">
        <f>(1340010)*0.001</f>
        <v>1340.01</v>
      </c>
      <c r="J45" s="167">
        <f>(1396071)*0.001</f>
        <v>1396.0710000000001</v>
      </c>
      <c r="K45" s="147">
        <v>4286.8999999999996</v>
      </c>
      <c r="L45" s="147">
        <v>4302.1000000000004</v>
      </c>
      <c r="M45" s="148">
        <v>4550.2</v>
      </c>
      <c r="N45" s="167">
        <v>4470</v>
      </c>
      <c r="O45" s="167">
        <v>4582.5</v>
      </c>
      <c r="P45" s="147">
        <v>964.4</v>
      </c>
      <c r="Q45" s="168">
        <v>975.3</v>
      </c>
      <c r="R45" s="167">
        <v>2252.6</v>
      </c>
      <c r="S45" s="167">
        <v>1795.1</v>
      </c>
      <c r="T45" s="167">
        <v>1805.1</v>
      </c>
      <c r="U45" s="168">
        <v>1835.7</v>
      </c>
    </row>
    <row r="46" spans="1:21" s="111" customFormat="1" ht="20.100000000000001" customHeight="1">
      <c r="A46" s="104" t="s">
        <v>81</v>
      </c>
      <c r="B46" s="167">
        <f>0.81</f>
        <v>0.81</v>
      </c>
      <c r="C46" s="167">
        <f>(741)*0.001</f>
        <v>0.74099999999999999</v>
      </c>
      <c r="D46" s="167">
        <f>(638)*0.001</f>
        <v>0.63800000000000001</v>
      </c>
      <c r="E46" s="271">
        <f>(551)*0.001</f>
        <v>0.55100000000000005</v>
      </c>
      <c r="F46" s="167">
        <f>(474)*0.001</f>
        <v>0.47400000000000003</v>
      </c>
      <c r="G46" s="167">
        <f>(424)*0.001</f>
        <v>0.42399999999999999</v>
      </c>
      <c r="H46" s="167">
        <f>(306)*0.001</f>
        <v>0.30599999999999999</v>
      </c>
      <c r="I46" s="272">
        <f>(227)*0.001</f>
        <v>0.22700000000000001</v>
      </c>
      <c r="J46" s="273">
        <f>(166)*0.001</f>
        <v>0.16600000000000001</v>
      </c>
      <c r="K46" s="147">
        <v>4.5</v>
      </c>
      <c r="L46" s="147">
        <v>7.9</v>
      </c>
      <c r="M46" s="148">
        <v>11.7</v>
      </c>
      <c r="N46" s="147">
        <v>13.4</v>
      </c>
      <c r="O46" s="147">
        <v>15.7</v>
      </c>
      <c r="P46" s="147">
        <v>21.3</v>
      </c>
      <c r="Q46" s="168">
        <v>20.9</v>
      </c>
      <c r="R46" s="147">
        <v>21.2</v>
      </c>
      <c r="S46" s="147">
        <v>23.3</v>
      </c>
      <c r="T46" s="147">
        <v>22.1</v>
      </c>
      <c r="U46" s="168">
        <v>20.9</v>
      </c>
    </row>
    <row r="47" spans="1:21" s="111" customFormat="1" ht="20.100000000000001" customHeight="1">
      <c r="A47" s="104" t="s">
        <v>157</v>
      </c>
      <c r="B47" s="149">
        <f>0*($A$71)</f>
        <v>0</v>
      </c>
      <c r="C47" s="149">
        <f>0</f>
        <v>0</v>
      </c>
      <c r="D47" s="149">
        <f>0</f>
        <v>0</v>
      </c>
      <c r="E47" s="279">
        <v>0</v>
      </c>
      <c r="F47" s="149">
        <v>0</v>
      </c>
      <c r="G47" s="149">
        <f>0</f>
        <v>0</v>
      </c>
      <c r="H47" s="149">
        <v>0</v>
      </c>
      <c r="I47" s="280">
        <v>0</v>
      </c>
      <c r="J47" s="275">
        <v>0</v>
      </c>
      <c r="K47" s="147">
        <v>835.8</v>
      </c>
      <c r="L47" s="147">
        <v>730.2</v>
      </c>
      <c r="M47" s="148">
        <v>750.3</v>
      </c>
      <c r="N47" s="147">
        <v>724.4</v>
      </c>
      <c r="O47" s="147">
        <v>747.9</v>
      </c>
      <c r="P47" s="147">
        <v>645.1</v>
      </c>
      <c r="Q47" s="168">
        <v>652.79999999999995</v>
      </c>
      <c r="R47" s="147">
        <v>658</v>
      </c>
      <c r="S47" s="147">
        <v>686.7</v>
      </c>
      <c r="T47" s="147">
        <v>555.79999999999995</v>
      </c>
      <c r="U47" s="168">
        <v>574</v>
      </c>
    </row>
    <row r="48" spans="1:21" s="111" customFormat="1" ht="20.100000000000001" customHeight="1">
      <c r="A48" s="104" t="s">
        <v>82</v>
      </c>
      <c r="B48" s="167">
        <f>87.307</f>
        <v>87.307000000000002</v>
      </c>
      <c r="C48" s="167">
        <f>(88480)*0.001</f>
        <v>88.48</v>
      </c>
      <c r="D48" s="167">
        <f>(97271)*0.001</f>
        <v>97.271000000000001</v>
      </c>
      <c r="E48" s="271">
        <f>(94258)*0.001</f>
        <v>94.257999999999996</v>
      </c>
      <c r="F48" s="167">
        <f>(93487)*0.001</f>
        <v>93.487000000000009</v>
      </c>
      <c r="G48" s="167">
        <f>(93150)*0.001</f>
        <v>93.15</v>
      </c>
      <c r="H48" s="167">
        <f>(98799)*0.001</f>
        <v>98.799000000000007</v>
      </c>
      <c r="I48" s="272">
        <f>(108066)*0.001</f>
        <v>108.066</v>
      </c>
      <c r="J48" s="273">
        <f>(95950)*0.001</f>
        <v>95.95</v>
      </c>
      <c r="K48" s="147">
        <v>1010.7</v>
      </c>
      <c r="L48" s="147">
        <v>1038.8</v>
      </c>
      <c r="M48" s="148">
        <v>908.7</v>
      </c>
      <c r="N48" s="147">
        <v>888.6</v>
      </c>
      <c r="O48" s="147">
        <v>821.1</v>
      </c>
      <c r="P48" s="147">
        <v>770.4</v>
      </c>
      <c r="Q48" s="168">
        <v>615.79999999999995</v>
      </c>
      <c r="R48" s="147">
        <v>694.4</v>
      </c>
      <c r="S48" s="147">
        <v>889.1</v>
      </c>
      <c r="T48" s="147">
        <v>923.2</v>
      </c>
      <c r="U48" s="168">
        <v>786.9</v>
      </c>
    </row>
    <row r="49" spans="1:21" s="111" customFormat="1" ht="20.100000000000001" customHeight="1">
      <c r="A49" s="104" t="s">
        <v>156</v>
      </c>
      <c r="B49" s="158">
        <v>0</v>
      </c>
      <c r="C49" s="167">
        <f>(6285)*0.001</f>
        <v>6.2850000000000001</v>
      </c>
      <c r="D49" s="167">
        <f>(5716)*0.001</f>
        <v>5.7160000000000002</v>
      </c>
      <c r="E49" s="271">
        <f>(5181)*0.001</f>
        <v>5.181</v>
      </c>
      <c r="F49" s="167">
        <f>(4978)*0.001</f>
        <v>4.9779999999999998</v>
      </c>
      <c r="G49" s="167">
        <f>(4754)*0.001</f>
        <v>4.7540000000000004</v>
      </c>
      <c r="H49" s="167">
        <f>(4303)*0.001</f>
        <v>4.3029999999999999</v>
      </c>
      <c r="I49" s="272">
        <f>(4079)*0.001</f>
        <v>4.0789999999999997</v>
      </c>
      <c r="J49" s="273">
        <f>(3008)*0.001</f>
        <v>3.008</v>
      </c>
      <c r="K49" s="147">
        <v>2.8</v>
      </c>
      <c r="L49" s="147">
        <v>3.9</v>
      </c>
      <c r="M49" s="148">
        <v>4.7</v>
      </c>
      <c r="N49" s="147">
        <v>5.5</v>
      </c>
      <c r="O49" s="147">
        <v>5</v>
      </c>
      <c r="P49" s="147">
        <v>4.5</v>
      </c>
      <c r="Q49" s="168">
        <v>4.7</v>
      </c>
      <c r="R49" s="147">
        <v>22.1</v>
      </c>
      <c r="S49" s="147">
        <v>21</v>
      </c>
      <c r="T49" s="147">
        <v>20.100000000000001</v>
      </c>
      <c r="U49" s="168">
        <v>20.100000000000001</v>
      </c>
    </row>
    <row r="50" spans="1:21" s="111" customFormat="1" ht="20.100000000000001" customHeight="1">
      <c r="A50" s="104" t="s">
        <v>83</v>
      </c>
      <c r="B50" s="167">
        <f>13.779</f>
        <v>13.779</v>
      </c>
      <c r="C50" s="167">
        <f>(17835)*0.001</f>
        <v>17.835000000000001</v>
      </c>
      <c r="D50" s="167">
        <f>(19037)*0.001</f>
        <v>19.036999999999999</v>
      </c>
      <c r="E50" s="271">
        <f>(17690)*0.001</f>
        <v>17.690000000000001</v>
      </c>
      <c r="F50" s="167">
        <f>(17684)*0.001</f>
        <v>17.684000000000001</v>
      </c>
      <c r="G50" s="167">
        <f>(10154)*0.001</f>
        <v>10.154</v>
      </c>
      <c r="H50" s="167">
        <f>(8594)*0.001</f>
        <v>8.5939999999999994</v>
      </c>
      <c r="I50" s="272">
        <f>(7915)*0.001</f>
        <v>7.915</v>
      </c>
      <c r="J50" s="273">
        <f>(7828)*0.001</f>
        <v>7.8280000000000003</v>
      </c>
      <c r="K50" s="147">
        <v>158.19999999999999</v>
      </c>
      <c r="L50" s="147">
        <v>164.6</v>
      </c>
      <c r="M50" s="148">
        <v>184.2</v>
      </c>
      <c r="N50" s="147">
        <v>167.4</v>
      </c>
      <c r="O50" s="147">
        <v>132.4</v>
      </c>
      <c r="P50" s="147">
        <v>133.1</v>
      </c>
      <c r="Q50" s="168">
        <v>124.2</v>
      </c>
      <c r="R50" s="147">
        <v>157.30000000000001</v>
      </c>
      <c r="S50" s="147">
        <v>148.9</v>
      </c>
      <c r="T50" s="147">
        <v>148.19999999999999</v>
      </c>
      <c r="U50" s="168">
        <v>130.19999999999999</v>
      </c>
    </row>
    <row r="51" spans="1:21" s="120" customFormat="1" ht="20.100000000000001" customHeight="1" thickBot="1">
      <c r="A51" s="105" t="s">
        <v>84</v>
      </c>
      <c r="B51" s="149">
        <f>0*($A$71)</f>
        <v>0</v>
      </c>
      <c r="C51" s="149">
        <f>0</f>
        <v>0</v>
      </c>
      <c r="D51" s="149">
        <f>0</f>
        <v>0</v>
      </c>
      <c r="E51" s="279">
        <v>0</v>
      </c>
      <c r="F51" s="149">
        <v>0</v>
      </c>
      <c r="G51" s="149">
        <f>0</f>
        <v>0</v>
      </c>
      <c r="H51" s="149">
        <v>0</v>
      </c>
      <c r="I51" s="151">
        <v>0.1</v>
      </c>
      <c r="J51" s="275">
        <v>0</v>
      </c>
      <c r="K51" s="149">
        <f>0*($A$71)</f>
        <v>0</v>
      </c>
      <c r="L51" s="149">
        <f>0*($A$71)</f>
        <v>0</v>
      </c>
      <c r="M51" s="151">
        <v>40.1</v>
      </c>
      <c r="N51" s="150">
        <v>22.6</v>
      </c>
      <c r="O51" s="150">
        <v>2</v>
      </c>
      <c r="P51" s="150">
        <v>1.9</v>
      </c>
      <c r="Q51" s="168">
        <v>0</v>
      </c>
      <c r="R51" s="150">
        <v>1.1000000000000001</v>
      </c>
      <c r="S51" s="150">
        <v>0.9</v>
      </c>
      <c r="T51" s="150">
        <v>0</v>
      </c>
      <c r="U51" s="168">
        <v>0</v>
      </c>
    </row>
    <row r="52" spans="1:21" s="121" customFormat="1" ht="24.95" customHeight="1" thickBot="1">
      <c r="A52" s="19" t="s">
        <v>85</v>
      </c>
      <c r="B52" s="154">
        <f t="shared" ref="B52" si="27">SUM(B44:B50)</f>
        <v>2394.6009999999997</v>
      </c>
      <c r="C52" s="154">
        <f t="shared" ref="C52" si="28">SUM(C44:C50)</f>
        <v>2372.0889999999999</v>
      </c>
      <c r="D52" s="154">
        <f t="shared" ref="D52" si="29">SUM(D44:D50)</f>
        <v>2150.2569999999996</v>
      </c>
      <c r="E52" s="155">
        <f t="shared" ref="E52:H52" si="30">SUM(E44:E50)</f>
        <v>2026.162</v>
      </c>
      <c r="F52" s="154">
        <f t="shared" si="30"/>
        <v>2059.5610000000001</v>
      </c>
      <c r="G52" s="154">
        <f t="shared" si="30"/>
        <v>1927.3119999999999</v>
      </c>
      <c r="H52" s="154">
        <f t="shared" si="30"/>
        <v>1827.1140000000003</v>
      </c>
      <c r="I52" s="154">
        <f t="shared" ref="I52:J52" si="31">SUM(I44:I50)</f>
        <v>1700.1859999999999</v>
      </c>
      <c r="J52" s="278">
        <f t="shared" si="31"/>
        <v>1739.3000000000002</v>
      </c>
      <c r="K52" s="154">
        <f t="shared" ref="K52:L52" si="32">SUM(K44:K50)</f>
        <v>14745</v>
      </c>
      <c r="L52" s="154">
        <f t="shared" si="32"/>
        <v>14223.800000000001</v>
      </c>
      <c r="M52" s="155">
        <f t="shared" ref="M52:R52" si="33">SUM(M44:M51)-M51</f>
        <v>14093.300000000003</v>
      </c>
      <c r="N52" s="154">
        <f t="shared" si="33"/>
        <v>13627.199999999999</v>
      </c>
      <c r="O52" s="154">
        <f t="shared" si="33"/>
        <v>13339.2</v>
      </c>
      <c r="P52" s="154">
        <f t="shared" si="33"/>
        <v>8183.7</v>
      </c>
      <c r="Q52" s="155">
        <f t="shared" si="33"/>
        <v>7773.5</v>
      </c>
      <c r="R52" s="154">
        <f t="shared" si="33"/>
        <v>13787.7</v>
      </c>
      <c r="S52" s="154">
        <f t="shared" ref="S52:T52" si="34">SUM(S44:S51)-S51</f>
        <v>13316.1</v>
      </c>
      <c r="T52" s="154">
        <f t="shared" si="34"/>
        <v>13004.800000000001</v>
      </c>
      <c r="U52" s="155">
        <f t="shared" ref="U52" si="35">SUM(U44:U51)-U51</f>
        <v>12670.500000000002</v>
      </c>
    </row>
    <row r="53" spans="1:21" s="111" customFormat="1" ht="20.100000000000001" customHeight="1">
      <c r="A53" s="104" t="s">
        <v>79</v>
      </c>
      <c r="B53" s="167">
        <f>250.363</f>
        <v>250.363</v>
      </c>
      <c r="C53" s="167">
        <f>(265796)*0.001</f>
        <v>265.79599999999999</v>
      </c>
      <c r="D53" s="167">
        <f>(238676)*0.001</f>
        <v>238.67600000000002</v>
      </c>
      <c r="E53" s="271">
        <f>(275608)*0.001</f>
        <v>275.608</v>
      </c>
      <c r="F53" s="167">
        <f>(250329)*0.001</f>
        <v>250.32900000000001</v>
      </c>
      <c r="G53" s="167">
        <f>(263389)*0.001</f>
        <v>263.38900000000001</v>
      </c>
      <c r="H53" s="167">
        <f>(214673)*0.001</f>
        <v>214.673</v>
      </c>
      <c r="I53" s="272">
        <f>(245994)*0.001</f>
        <v>245.994</v>
      </c>
      <c r="J53" s="273">
        <f>(240921)*0.001</f>
        <v>240.92099999999999</v>
      </c>
      <c r="K53" s="147">
        <v>1094.3</v>
      </c>
      <c r="L53" s="147">
        <v>1365.1</v>
      </c>
      <c r="M53" s="148">
        <v>1322.6</v>
      </c>
      <c r="N53" s="167">
        <v>1543.9</v>
      </c>
      <c r="O53" s="167">
        <v>1169.9000000000001</v>
      </c>
      <c r="P53" s="147">
        <v>963.7</v>
      </c>
      <c r="Q53" s="168">
        <v>1230.9000000000001</v>
      </c>
      <c r="R53" s="167">
        <v>1593</v>
      </c>
      <c r="S53" s="167">
        <v>1251.3</v>
      </c>
      <c r="T53" s="167">
        <v>1269.4000000000001</v>
      </c>
      <c r="U53" s="168">
        <v>1270</v>
      </c>
    </row>
    <row r="54" spans="1:21" s="111" customFormat="1" ht="20.100000000000001" customHeight="1">
      <c r="A54" s="104" t="s">
        <v>80</v>
      </c>
      <c r="B54" s="167">
        <f>100.836</f>
        <v>100.836</v>
      </c>
      <c r="C54" s="167">
        <f>(101342)*0.001</f>
        <v>101.342</v>
      </c>
      <c r="D54" s="167">
        <f>(99687)*0.001</f>
        <v>99.686999999999998</v>
      </c>
      <c r="E54" s="271">
        <f>(97256)*0.001</f>
        <v>97.256</v>
      </c>
      <c r="F54" s="167">
        <f>(101219)*0.001</f>
        <v>101.21900000000001</v>
      </c>
      <c r="G54" s="167">
        <f>(102957)*0.001</f>
        <v>102.95700000000001</v>
      </c>
      <c r="H54" s="167">
        <f>(102171)*0.001</f>
        <v>102.17100000000001</v>
      </c>
      <c r="I54" s="272">
        <f>(98659)*0.001</f>
        <v>98.659000000000006</v>
      </c>
      <c r="J54" s="273">
        <f>(101071)*0.001</f>
        <v>101.071</v>
      </c>
      <c r="K54" s="147">
        <v>431.9</v>
      </c>
      <c r="L54" s="147">
        <v>439.1</v>
      </c>
      <c r="M54" s="148">
        <v>464.4</v>
      </c>
      <c r="N54" s="147">
        <v>462.5</v>
      </c>
      <c r="O54" s="147">
        <v>479.4</v>
      </c>
      <c r="P54" s="147">
        <v>4607.5</v>
      </c>
      <c r="Q54" s="168">
        <v>4776.7</v>
      </c>
      <c r="R54" s="147">
        <v>41.5</v>
      </c>
      <c r="S54" s="147">
        <v>42.3</v>
      </c>
      <c r="T54" s="147">
        <v>41.9</v>
      </c>
      <c r="U54" s="168">
        <v>42.4</v>
      </c>
    </row>
    <row r="55" spans="1:21" s="111" customFormat="1" ht="20.100000000000001" customHeight="1">
      <c r="A55" s="104" t="s">
        <v>81</v>
      </c>
      <c r="B55" s="167">
        <f>0.237</f>
        <v>0.23699999999999999</v>
      </c>
      <c r="C55" s="167">
        <f>(243)*0.001</f>
        <v>0.24299999999999999</v>
      </c>
      <c r="D55" s="167">
        <f>(234)*0.001</f>
        <v>0.23400000000000001</v>
      </c>
      <c r="E55" s="271">
        <f>(233)*0.001</f>
        <v>0.23300000000000001</v>
      </c>
      <c r="F55" s="167">
        <f>(238)*0.001</f>
        <v>0.23800000000000002</v>
      </c>
      <c r="G55" s="167">
        <f>(247)*0.001</f>
        <v>0.247</v>
      </c>
      <c r="H55" s="167">
        <f>(240)*0.001</f>
        <v>0.24</v>
      </c>
      <c r="I55" s="272">
        <f>(236)*0.001</f>
        <v>0.23600000000000002</v>
      </c>
      <c r="J55" s="273">
        <f>(237)*0.001</f>
        <v>0.23700000000000002</v>
      </c>
      <c r="K55" s="147">
        <v>5.3</v>
      </c>
      <c r="L55" s="147">
        <v>5.8</v>
      </c>
      <c r="M55" s="148">
        <v>6.8</v>
      </c>
      <c r="N55" s="147">
        <v>2.7</v>
      </c>
      <c r="O55" s="147">
        <v>3.7</v>
      </c>
      <c r="P55" s="147">
        <v>4.3</v>
      </c>
      <c r="Q55" s="168">
        <v>4.3</v>
      </c>
      <c r="R55" s="147">
        <v>4.5</v>
      </c>
      <c r="S55" s="147">
        <v>4.9000000000000004</v>
      </c>
      <c r="T55" s="147">
        <v>4.9000000000000004</v>
      </c>
      <c r="U55" s="168">
        <v>5</v>
      </c>
    </row>
    <row r="56" spans="1:21" s="111" customFormat="1" ht="20.100000000000001" customHeight="1">
      <c r="A56" s="104" t="s">
        <v>157</v>
      </c>
      <c r="B56" s="147">
        <v>0</v>
      </c>
      <c r="C56" s="147">
        <v>0</v>
      </c>
      <c r="D56" s="147">
        <v>0</v>
      </c>
      <c r="E56" s="148">
        <v>0</v>
      </c>
      <c r="F56" s="147">
        <v>0</v>
      </c>
      <c r="G56" s="147">
        <v>0</v>
      </c>
      <c r="H56" s="147">
        <v>0</v>
      </c>
      <c r="I56" s="274">
        <v>0</v>
      </c>
      <c r="J56" s="289">
        <v>0</v>
      </c>
      <c r="K56" s="147">
        <v>115.8</v>
      </c>
      <c r="L56" s="147">
        <v>113.9</v>
      </c>
      <c r="M56" s="148">
        <v>117.1</v>
      </c>
      <c r="N56" s="147">
        <v>113</v>
      </c>
      <c r="O56" s="147">
        <v>116.7</v>
      </c>
      <c r="P56" s="147">
        <v>115.6</v>
      </c>
      <c r="Q56" s="168">
        <v>117</v>
      </c>
      <c r="R56" s="147">
        <v>118</v>
      </c>
      <c r="S56" s="147">
        <v>123.1</v>
      </c>
      <c r="T56" s="147">
        <v>117.7</v>
      </c>
      <c r="U56" s="168">
        <v>121.5</v>
      </c>
    </row>
    <row r="57" spans="1:21" s="111" customFormat="1" ht="20.100000000000001" customHeight="1">
      <c r="A57" s="104" t="s">
        <v>86</v>
      </c>
      <c r="B57" s="167">
        <f>435.427</f>
        <v>435.42700000000002</v>
      </c>
      <c r="C57" s="167">
        <f>(436188)*0.001</f>
        <v>436.18799999999999</v>
      </c>
      <c r="D57" s="167">
        <f>(441676)*0.001</f>
        <v>441.67599999999999</v>
      </c>
      <c r="E57" s="271">
        <f>(472094)*0.001</f>
        <v>472.09399999999999</v>
      </c>
      <c r="F57" s="167">
        <f>(432897)*0.001</f>
        <v>432.89699999999999</v>
      </c>
      <c r="G57" s="167">
        <f>(428004)*0.001</f>
        <v>428.00400000000002</v>
      </c>
      <c r="H57" s="167">
        <f>(390829)*0.001</f>
        <v>390.82900000000001</v>
      </c>
      <c r="I57" s="272">
        <f>(413210)*0.001</f>
        <v>413.21000000000004</v>
      </c>
      <c r="J57" s="273">
        <f>(418100)*0.001</f>
        <v>418.1</v>
      </c>
      <c r="K57" s="147">
        <v>1618.8</v>
      </c>
      <c r="L57" s="147">
        <v>1505.3</v>
      </c>
      <c r="M57" s="148">
        <v>1523</v>
      </c>
      <c r="N57" s="167">
        <v>1333.5</v>
      </c>
      <c r="O57" s="167">
        <v>1670.4</v>
      </c>
      <c r="P57" s="147">
        <v>1431.5</v>
      </c>
      <c r="Q57" s="168">
        <v>1485.4</v>
      </c>
      <c r="R57" s="167">
        <v>1711.4</v>
      </c>
      <c r="S57" s="167">
        <v>1365.9</v>
      </c>
      <c r="T57" s="167">
        <v>1338.1</v>
      </c>
      <c r="U57" s="168">
        <v>1569.5</v>
      </c>
    </row>
    <row r="58" spans="1:21" s="111" customFormat="1" ht="20.100000000000001" customHeight="1">
      <c r="A58" s="105" t="s">
        <v>84</v>
      </c>
      <c r="B58" s="147">
        <v>0</v>
      </c>
      <c r="C58" s="147">
        <v>0</v>
      </c>
      <c r="D58" s="147">
        <v>0</v>
      </c>
      <c r="E58" s="148">
        <v>0</v>
      </c>
      <c r="F58" s="147">
        <v>0</v>
      </c>
      <c r="G58" s="147">
        <v>0</v>
      </c>
      <c r="H58" s="147">
        <v>0</v>
      </c>
      <c r="I58" s="151">
        <v>12</v>
      </c>
      <c r="J58" s="289">
        <v>0</v>
      </c>
      <c r="K58" s="147">
        <v>0</v>
      </c>
      <c r="L58" s="147">
        <v>0</v>
      </c>
      <c r="M58" s="151">
        <v>87</v>
      </c>
      <c r="N58" s="150">
        <v>99.7</v>
      </c>
      <c r="O58" s="150">
        <v>79</v>
      </c>
      <c r="P58" s="150">
        <v>57.1</v>
      </c>
      <c r="Q58" s="321">
        <v>72.900000000000006</v>
      </c>
      <c r="R58" s="150">
        <v>25.8</v>
      </c>
      <c r="S58" s="150">
        <v>3.5</v>
      </c>
      <c r="T58" s="150">
        <v>1.8</v>
      </c>
      <c r="U58" s="168">
        <v>0</v>
      </c>
    </row>
    <row r="59" spans="1:21" s="111" customFormat="1" ht="20.100000000000001" customHeight="1">
      <c r="A59" s="104" t="s">
        <v>87</v>
      </c>
      <c r="B59" s="167">
        <f>29.589</f>
        <v>29.588999999999999</v>
      </c>
      <c r="C59" s="167">
        <f>(7799)*0.001</f>
        <v>7.7990000000000004</v>
      </c>
      <c r="D59" s="167">
        <f>(6782)*0.001</f>
        <v>6.782</v>
      </c>
      <c r="E59" s="271">
        <f>(7092)*0.001</f>
        <v>7.0920000000000005</v>
      </c>
      <c r="F59" s="167">
        <f>(1990)*0.001</f>
        <v>1.99</v>
      </c>
      <c r="G59" s="167">
        <f>(6510)*0.001</f>
        <v>6.51</v>
      </c>
      <c r="H59" s="167">
        <f>(14152)*0.001</f>
        <v>14.152000000000001</v>
      </c>
      <c r="I59" s="272">
        <f>(4520)*0.001</f>
        <v>4.5200000000000005</v>
      </c>
      <c r="J59" s="273">
        <f>(12203)*0.001</f>
        <v>12.202999999999999</v>
      </c>
      <c r="K59" s="147">
        <v>43.7</v>
      </c>
      <c r="L59" s="147">
        <v>22.1</v>
      </c>
      <c r="M59" s="148">
        <v>48.028993427171699</v>
      </c>
      <c r="N59" s="147">
        <v>22.5</v>
      </c>
      <c r="O59" s="147">
        <v>132.69999999999999</v>
      </c>
      <c r="P59" s="147">
        <v>96.3</v>
      </c>
      <c r="Q59" s="168">
        <v>176.1</v>
      </c>
      <c r="R59" s="147">
        <v>29.2</v>
      </c>
      <c r="S59" s="147">
        <v>39.1</v>
      </c>
      <c r="T59" s="147">
        <v>21.967722325707697</v>
      </c>
      <c r="U59" s="168">
        <v>24.9</v>
      </c>
    </row>
    <row r="60" spans="1:21" s="111" customFormat="1" ht="20.100000000000001" customHeight="1">
      <c r="A60" s="104" t="s">
        <v>88</v>
      </c>
      <c r="B60" s="167">
        <f>12.532</f>
        <v>12.532</v>
      </c>
      <c r="C60" s="167">
        <f>(12125)*0.001</f>
        <v>12.125</v>
      </c>
      <c r="D60" s="167">
        <f>(12084)*0.001</f>
        <v>12.084</v>
      </c>
      <c r="E60" s="271">
        <f>(13259)*0.001</f>
        <v>13.259</v>
      </c>
      <c r="F60" s="167">
        <f>(13182)*0.001</f>
        <v>13.182</v>
      </c>
      <c r="G60" s="167">
        <f>(12551)*0.001</f>
        <v>12.551</v>
      </c>
      <c r="H60" s="167">
        <f>(12536)*0.001</f>
        <v>12.536</v>
      </c>
      <c r="I60" s="272">
        <f>(2727)*0.001</f>
        <v>2.7269999999999999</v>
      </c>
      <c r="J60" s="273">
        <f>(2843)*0.001</f>
        <v>2.843</v>
      </c>
      <c r="K60" s="147">
        <v>2.6</v>
      </c>
      <c r="L60" s="147">
        <v>2.7</v>
      </c>
      <c r="M60" s="148">
        <v>1.4</v>
      </c>
      <c r="N60" s="147">
        <v>1.4</v>
      </c>
      <c r="O60" s="170" t="s">
        <v>1</v>
      </c>
      <c r="P60" s="170" t="s">
        <v>1</v>
      </c>
      <c r="Q60" s="171" t="s">
        <v>1</v>
      </c>
      <c r="R60" s="170" t="s">
        <v>1</v>
      </c>
      <c r="S60" s="170" t="s">
        <v>1</v>
      </c>
      <c r="T60" s="170" t="s">
        <v>1</v>
      </c>
      <c r="U60" s="171" t="s">
        <v>1</v>
      </c>
    </row>
    <row r="61" spans="1:21" s="111" customFormat="1" ht="20.100000000000001" customHeight="1" thickBot="1">
      <c r="A61" s="104" t="s">
        <v>156</v>
      </c>
      <c r="B61" s="167">
        <f>188.402</f>
        <v>188.40199999999999</v>
      </c>
      <c r="C61" s="167">
        <f>(209950)*0.001</f>
        <v>209.95000000000002</v>
      </c>
      <c r="D61" s="167">
        <f>(210563)*0.001</f>
        <v>210.56300000000002</v>
      </c>
      <c r="E61" s="271">
        <f>(201238)*0.001</f>
        <v>201.238</v>
      </c>
      <c r="F61" s="167">
        <f>(207890)*0.001</f>
        <v>207.89000000000001</v>
      </c>
      <c r="G61" s="167">
        <f>(204442)*0.001</f>
        <v>204.44200000000001</v>
      </c>
      <c r="H61" s="167">
        <f>(210688)*0.001</f>
        <v>210.68800000000002</v>
      </c>
      <c r="I61" s="272">
        <f>(209485)*0.001</f>
        <v>209.48500000000001</v>
      </c>
      <c r="J61" s="273">
        <f>(228170)*0.001</f>
        <v>228.17000000000002</v>
      </c>
      <c r="K61" s="147">
        <v>678</v>
      </c>
      <c r="L61" s="147">
        <v>672.7</v>
      </c>
      <c r="M61" s="148">
        <v>683.9</v>
      </c>
      <c r="N61" s="147">
        <v>670.3</v>
      </c>
      <c r="O61" s="147">
        <v>672</v>
      </c>
      <c r="P61" s="147">
        <v>680.9</v>
      </c>
      <c r="Q61" s="168">
        <v>676.1</v>
      </c>
      <c r="R61" s="147">
        <v>665</v>
      </c>
      <c r="S61" s="147">
        <v>676.8</v>
      </c>
      <c r="T61" s="147">
        <v>660.84343092999995</v>
      </c>
      <c r="U61" s="168">
        <v>647.9</v>
      </c>
    </row>
    <row r="62" spans="1:21" s="121" customFormat="1" ht="24.95" customHeight="1" thickBot="1">
      <c r="A62" s="19" t="s">
        <v>89</v>
      </c>
      <c r="B62" s="154">
        <f t="shared" ref="B62:H62" si="36">SUM(B53:B61)</f>
        <v>1017.386</v>
      </c>
      <c r="C62" s="154">
        <f t="shared" si="36"/>
        <v>1033.443</v>
      </c>
      <c r="D62" s="154">
        <f t="shared" si="36"/>
        <v>1009.7019999999999</v>
      </c>
      <c r="E62" s="155">
        <f t="shared" si="36"/>
        <v>1066.78</v>
      </c>
      <c r="F62" s="154">
        <f t="shared" si="36"/>
        <v>1007.745</v>
      </c>
      <c r="G62" s="154">
        <f t="shared" si="36"/>
        <v>1018.1</v>
      </c>
      <c r="H62" s="154">
        <f t="shared" si="36"/>
        <v>945.28899999999999</v>
      </c>
      <c r="I62" s="154">
        <f>SUM(I53:I61)-I58</f>
        <v>974.83100000000002</v>
      </c>
      <c r="J62" s="278">
        <f>SUM(J53:J61)</f>
        <v>1003.5449999999998</v>
      </c>
      <c r="K62" s="154">
        <f>SUM(K53:K61)</f>
        <v>3990.3999999999992</v>
      </c>
      <c r="L62" s="154">
        <f>SUM(L53:L61)</f>
        <v>4126.7</v>
      </c>
      <c r="M62" s="155">
        <f t="shared" ref="M62:R62" si="37">SUM(M53:M61)-M58</f>
        <v>4167.2289934271712</v>
      </c>
      <c r="N62" s="154">
        <f t="shared" si="37"/>
        <v>4149.8</v>
      </c>
      <c r="O62" s="154">
        <f t="shared" si="37"/>
        <v>4244.8</v>
      </c>
      <c r="P62" s="154">
        <f t="shared" si="37"/>
        <v>7899.8</v>
      </c>
      <c r="Q62" s="155">
        <f t="shared" si="37"/>
        <v>8466.5000000000018</v>
      </c>
      <c r="R62" s="154">
        <f t="shared" si="37"/>
        <v>4162.5999999999995</v>
      </c>
      <c r="S62" s="154">
        <f>SUM(S53:S61)-S58</f>
        <v>3503.3999999999996</v>
      </c>
      <c r="T62" s="154">
        <f>SUM(T53:T61)-T58</f>
        <v>3454.8111532557077</v>
      </c>
      <c r="U62" s="155">
        <f t="shared" ref="U62" si="38">SUM(U53:U61)-U58</f>
        <v>3681.2000000000003</v>
      </c>
    </row>
    <row r="63" spans="1:21" s="121" customFormat="1" ht="24.95" customHeight="1" thickBot="1">
      <c r="A63" s="19" t="s">
        <v>90</v>
      </c>
      <c r="B63" s="154">
        <f>B52+B62</f>
        <v>3411.9869999999996</v>
      </c>
      <c r="C63" s="154">
        <f>C52+C62</f>
        <v>3405.5320000000002</v>
      </c>
      <c r="D63" s="154">
        <f>D52+D62</f>
        <v>3159.9589999999994</v>
      </c>
      <c r="E63" s="155">
        <f t="shared" ref="E63:T63" si="39">E62+E52</f>
        <v>3092.942</v>
      </c>
      <c r="F63" s="154">
        <f t="shared" si="39"/>
        <v>3067.306</v>
      </c>
      <c r="G63" s="154">
        <f t="shared" si="39"/>
        <v>2945.4119999999998</v>
      </c>
      <c r="H63" s="154">
        <f t="shared" si="39"/>
        <v>2772.4030000000002</v>
      </c>
      <c r="I63" s="154">
        <f t="shared" si="39"/>
        <v>2675.0169999999998</v>
      </c>
      <c r="J63" s="278">
        <f t="shared" si="39"/>
        <v>2742.8450000000003</v>
      </c>
      <c r="K63" s="154">
        <f t="shared" si="39"/>
        <v>18735.399999999998</v>
      </c>
      <c r="L63" s="154">
        <f t="shared" si="39"/>
        <v>18350.5</v>
      </c>
      <c r="M63" s="155">
        <f t="shared" si="39"/>
        <v>18260.528993427175</v>
      </c>
      <c r="N63" s="154">
        <f t="shared" si="39"/>
        <v>17777</v>
      </c>
      <c r="O63" s="154">
        <f t="shared" si="39"/>
        <v>17584</v>
      </c>
      <c r="P63" s="154">
        <f t="shared" si="39"/>
        <v>16083.5</v>
      </c>
      <c r="Q63" s="155">
        <f t="shared" si="39"/>
        <v>16240.000000000002</v>
      </c>
      <c r="R63" s="154">
        <f t="shared" si="39"/>
        <v>17950.3</v>
      </c>
      <c r="S63" s="154">
        <f t="shared" si="39"/>
        <v>16819.5</v>
      </c>
      <c r="T63" s="154">
        <f t="shared" si="39"/>
        <v>16459.611153255708</v>
      </c>
      <c r="U63" s="155">
        <f t="shared" ref="U63" si="40">U62+U52</f>
        <v>16351.700000000003</v>
      </c>
    </row>
    <row r="64" spans="1:21" s="121" customFormat="1" ht="24.95" customHeight="1" thickBot="1">
      <c r="A64" s="122" t="s">
        <v>69</v>
      </c>
      <c r="B64" s="159">
        <f t="shared" ref="B64:T64" si="41">B63+B43</f>
        <v>5502.753999999999</v>
      </c>
      <c r="C64" s="159">
        <f t="shared" si="41"/>
        <v>5597.8010000000004</v>
      </c>
      <c r="D64" s="159">
        <f t="shared" si="41"/>
        <v>5514.8739999999998</v>
      </c>
      <c r="E64" s="160">
        <f t="shared" si="41"/>
        <v>5561.3450000000003</v>
      </c>
      <c r="F64" s="159">
        <f t="shared" si="41"/>
        <v>5629.4740000000002</v>
      </c>
      <c r="G64" s="159">
        <f t="shared" si="41"/>
        <v>5592.7070000000003</v>
      </c>
      <c r="H64" s="159">
        <f t="shared" si="41"/>
        <v>5597.9809999999998</v>
      </c>
      <c r="I64" s="281">
        <f t="shared" si="41"/>
        <v>5676.23</v>
      </c>
      <c r="J64" s="282">
        <f t="shared" si="41"/>
        <v>5851.1939999999995</v>
      </c>
      <c r="K64" s="159">
        <f t="shared" si="41"/>
        <v>27827.1</v>
      </c>
      <c r="L64" s="159">
        <f t="shared" si="41"/>
        <v>27481.200000000001</v>
      </c>
      <c r="M64" s="160">
        <f t="shared" si="41"/>
        <v>27338.728993427176</v>
      </c>
      <c r="N64" s="159">
        <f t="shared" si="41"/>
        <v>27088.9</v>
      </c>
      <c r="O64" s="159">
        <f t="shared" si="41"/>
        <v>27141.800000000003</v>
      </c>
      <c r="P64" s="159">
        <f t="shared" si="41"/>
        <v>26143.5</v>
      </c>
      <c r="Q64" s="161">
        <f t="shared" si="41"/>
        <v>26490.100000000002</v>
      </c>
      <c r="R64" s="159">
        <f t="shared" si="41"/>
        <v>28355.5</v>
      </c>
      <c r="S64" s="159">
        <f t="shared" si="41"/>
        <v>27581.1</v>
      </c>
      <c r="T64" s="159">
        <f t="shared" si="41"/>
        <v>27493.111153255708</v>
      </c>
      <c r="U64" s="161">
        <f t="shared" ref="U64" si="42">U63+U43</f>
        <v>27729.300000000003</v>
      </c>
    </row>
    <row r="65" spans="1:17" s="111" customFormat="1">
      <c r="A65" s="124"/>
      <c r="K65" s="125"/>
      <c r="L65" s="125"/>
      <c r="P65" s="125"/>
    </row>
    <row r="66" spans="1:17" s="111" customFormat="1">
      <c r="A66" s="124"/>
      <c r="K66" s="125"/>
      <c r="L66" s="125"/>
      <c r="P66" s="125"/>
    </row>
    <row r="67" spans="1:17" s="111" customFormat="1" ht="20.100000000000001" customHeight="1">
      <c r="A67" s="343" t="s">
        <v>159</v>
      </c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</row>
    <row r="68" spans="1:17" s="111" customFormat="1" ht="20.100000000000001" customHeight="1">
      <c r="A68" s="343" t="s">
        <v>160</v>
      </c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</row>
    <row r="69" spans="1:17" s="111" customFormat="1">
      <c r="A69" s="126"/>
      <c r="K69" s="125"/>
      <c r="L69" s="125"/>
      <c r="P69" s="125"/>
    </row>
    <row r="70" spans="1:17" s="111" customFormat="1">
      <c r="A70" s="118"/>
      <c r="K70" s="125"/>
      <c r="L70" s="125"/>
      <c r="P70" s="125"/>
    </row>
    <row r="71" spans="1:17" s="111" customFormat="1">
      <c r="A71" s="126"/>
      <c r="K71" s="125"/>
      <c r="L71" s="125"/>
      <c r="P71" s="125"/>
    </row>
    <row r="72" spans="1:17" s="111" customFormat="1">
      <c r="A72" s="126"/>
      <c r="K72" s="125"/>
      <c r="L72" s="125"/>
      <c r="P72" s="125"/>
    </row>
  </sheetData>
  <mergeCells count="7">
    <mergeCell ref="R2:U2"/>
    <mergeCell ref="A67:Q67"/>
    <mergeCell ref="A68:Q68"/>
    <mergeCell ref="B2:E2"/>
    <mergeCell ref="F2:I2"/>
    <mergeCell ref="J2:M2"/>
    <mergeCell ref="N2:Q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31" orientation="landscape" r:id="rId1"/>
  <ignoredErrors>
    <ignoredError sqref="I62 C28 F28 H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Z134"/>
  <sheetViews>
    <sheetView showGridLines="0" topLeftCell="A25" zoomScale="115" zoomScaleNormal="115" zoomScaleSheetLayoutView="110" workbookViewId="0">
      <pane xSplit="1" topLeftCell="P1" activePane="topRight" state="frozen"/>
      <selection pane="topRight" activeCell="Q62" sqref="Q62"/>
    </sheetView>
  </sheetViews>
  <sheetFormatPr defaultRowHeight="12.75"/>
  <cols>
    <col min="1" max="1" width="60.75" style="4" customWidth="1"/>
    <col min="2" max="2" width="13.125" style="4" customWidth="1"/>
    <col min="3" max="4" width="13" style="4" bestFit="1" customWidth="1"/>
    <col min="5" max="5" width="14.125" style="4" customWidth="1"/>
    <col min="6" max="6" width="13" style="4" bestFit="1" customWidth="1"/>
    <col min="7" max="8" width="12.875" style="4" customWidth="1"/>
    <col min="9" max="9" width="14.125" style="4" customWidth="1"/>
    <col min="10" max="11" width="13" style="4" bestFit="1" customWidth="1"/>
    <col min="12" max="12" width="12.875" style="4" customWidth="1"/>
    <col min="13" max="13" width="14.125" style="4" customWidth="1"/>
    <col min="14" max="16" width="13" style="4" bestFit="1" customWidth="1"/>
    <col min="17" max="17" width="14.125" style="4" customWidth="1"/>
    <col min="18" max="20" width="13" style="4" bestFit="1" customWidth="1"/>
    <col min="21" max="21" width="14.125" style="4" customWidth="1"/>
    <col min="22" max="61" width="9" style="15"/>
    <col min="62" max="16384" width="9" style="4"/>
  </cols>
  <sheetData>
    <row r="1" spans="1:494" s="63" customFormat="1" ht="50.25" customHeight="1" thickBot="1">
      <c r="A1" s="3" t="s">
        <v>6</v>
      </c>
      <c r="B1" s="3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/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/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/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/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</row>
    <row r="2" spans="1:494" s="63" customFormat="1" ht="24.95" customHeight="1">
      <c r="A2" s="82" t="s">
        <v>91</v>
      </c>
      <c r="B2" s="340">
        <v>2012</v>
      </c>
      <c r="C2" s="341"/>
      <c r="D2" s="341"/>
      <c r="E2" s="342"/>
      <c r="F2" s="340">
        <v>2013</v>
      </c>
      <c r="G2" s="341"/>
      <c r="H2" s="341"/>
      <c r="I2" s="342"/>
      <c r="J2" s="341">
        <v>2014</v>
      </c>
      <c r="K2" s="341"/>
      <c r="L2" s="341"/>
      <c r="M2" s="341"/>
      <c r="N2" s="346">
        <v>2015</v>
      </c>
      <c r="O2" s="344"/>
      <c r="P2" s="344"/>
      <c r="Q2" s="345"/>
      <c r="R2" s="347">
        <v>2016</v>
      </c>
      <c r="S2" s="348"/>
      <c r="T2" s="348"/>
      <c r="U2" s="349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  <c r="IW2" s="62"/>
      <c r="IX2" s="62"/>
      <c r="IY2" s="62"/>
      <c r="IZ2" s="62"/>
      <c r="JA2" s="62"/>
      <c r="JB2" s="62"/>
      <c r="JC2" s="62"/>
      <c r="JD2" s="62"/>
      <c r="JE2" s="62"/>
      <c r="JF2" s="62"/>
      <c r="JG2" s="62"/>
      <c r="JH2" s="62"/>
      <c r="JI2" s="62"/>
      <c r="JJ2" s="62"/>
      <c r="JK2" s="62"/>
      <c r="JL2" s="62"/>
      <c r="JM2" s="62"/>
      <c r="JN2" s="62"/>
      <c r="JO2" s="62"/>
      <c r="JP2" s="62"/>
      <c r="JQ2" s="62"/>
      <c r="JR2" s="62"/>
      <c r="JS2" s="62"/>
      <c r="JT2" s="62"/>
      <c r="JU2" s="62"/>
      <c r="JV2" s="62"/>
      <c r="JW2" s="62"/>
      <c r="JX2" s="62"/>
      <c r="JY2" s="62"/>
      <c r="JZ2" s="62"/>
      <c r="KA2" s="62"/>
      <c r="KB2" s="62"/>
      <c r="KC2" s="62"/>
      <c r="KD2" s="62"/>
      <c r="KE2" s="62"/>
      <c r="KF2" s="62"/>
      <c r="KG2" s="62"/>
      <c r="KH2" s="62"/>
      <c r="KI2" s="62"/>
      <c r="KJ2" s="62"/>
      <c r="KK2" s="62"/>
      <c r="KL2" s="62"/>
      <c r="KM2" s="62"/>
      <c r="KN2" s="62"/>
      <c r="KO2" s="62"/>
      <c r="KP2" s="62"/>
      <c r="KQ2" s="62"/>
      <c r="KR2" s="62"/>
      <c r="KS2" s="62"/>
      <c r="KT2" s="62"/>
      <c r="KU2" s="62"/>
      <c r="KV2" s="62"/>
      <c r="KW2" s="62"/>
      <c r="KX2" s="62"/>
      <c r="KY2" s="62"/>
      <c r="KZ2" s="62"/>
      <c r="LA2" s="62"/>
      <c r="LB2" s="62"/>
      <c r="LC2" s="62"/>
      <c r="LD2" s="62"/>
      <c r="LE2" s="62"/>
      <c r="LF2" s="62"/>
      <c r="LG2" s="62"/>
      <c r="LH2" s="62"/>
      <c r="LI2" s="62"/>
      <c r="LJ2" s="62"/>
      <c r="LK2" s="62"/>
      <c r="LL2" s="62"/>
      <c r="LM2" s="62"/>
      <c r="LN2" s="62"/>
      <c r="LO2" s="62"/>
      <c r="LP2" s="62"/>
      <c r="LQ2" s="62"/>
      <c r="LR2" s="62"/>
      <c r="LS2" s="62"/>
      <c r="LT2" s="62"/>
      <c r="LU2" s="62"/>
      <c r="LV2" s="62"/>
      <c r="LW2" s="62"/>
      <c r="LX2" s="62"/>
      <c r="LY2" s="62"/>
      <c r="LZ2" s="62"/>
      <c r="MA2" s="62"/>
      <c r="MB2" s="62"/>
      <c r="MC2" s="62"/>
      <c r="MD2" s="62"/>
      <c r="ME2" s="62"/>
      <c r="MF2" s="62"/>
      <c r="MG2" s="62"/>
      <c r="MH2" s="62"/>
      <c r="MI2" s="62"/>
      <c r="MJ2" s="62"/>
      <c r="MK2" s="62"/>
      <c r="ML2" s="62"/>
      <c r="MM2" s="62"/>
      <c r="MN2" s="62"/>
      <c r="MO2" s="62"/>
      <c r="MP2" s="62"/>
      <c r="MQ2" s="62"/>
      <c r="MR2" s="62"/>
      <c r="MS2" s="62"/>
      <c r="MT2" s="62"/>
      <c r="MU2" s="62"/>
      <c r="MV2" s="62"/>
      <c r="MW2" s="62"/>
      <c r="MX2" s="62"/>
      <c r="MY2" s="62"/>
      <c r="MZ2" s="62"/>
      <c r="NA2" s="62"/>
      <c r="NB2" s="62"/>
      <c r="NC2" s="62"/>
      <c r="ND2" s="62"/>
      <c r="NE2" s="62"/>
      <c r="NF2" s="62"/>
      <c r="NG2" s="62"/>
      <c r="NH2" s="62"/>
      <c r="NI2" s="62"/>
      <c r="NJ2" s="62"/>
      <c r="NK2" s="62"/>
      <c r="NL2" s="62"/>
      <c r="NM2" s="62"/>
      <c r="NN2" s="62"/>
      <c r="NO2" s="62"/>
      <c r="NP2" s="62"/>
      <c r="NQ2" s="62"/>
      <c r="NR2" s="62"/>
      <c r="NS2" s="62"/>
      <c r="NT2" s="62"/>
      <c r="NU2" s="62"/>
      <c r="NV2" s="62"/>
      <c r="NW2" s="62"/>
      <c r="NX2" s="62"/>
      <c r="NY2" s="62"/>
      <c r="NZ2" s="62"/>
      <c r="OA2" s="62"/>
      <c r="OB2" s="62"/>
      <c r="OC2" s="62"/>
      <c r="OD2" s="62"/>
      <c r="OE2" s="62"/>
      <c r="OF2" s="62"/>
      <c r="OG2" s="62"/>
      <c r="OH2" s="62"/>
      <c r="OI2" s="62"/>
      <c r="OJ2" s="62"/>
      <c r="OK2" s="62"/>
      <c r="OL2" s="62"/>
      <c r="OM2" s="62"/>
      <c r="ON2" s="62"/>
      <c r="OO2" s="62"/>
      <c r="OP2" s="62"/>
      <c r="OQ2" s="62"/>
      <c r="OR2" s="62"/>
      <c r="OS2" s="62"/>
      <c r="OT2" s="62"/>
      <c r="OU2" s="62"/>
      <c r="OV2" s="62"/>
      <c r="OW2" s="62"/>
      <c r="OX2" s="62"/>
      <c r="OY2" s="62"/>
      <c r="OZ2" s="62"/>
      <c r="PA2" s="62"/>
      <c r="PB2" s="62"/>
      <c r="PC2" s="62"/>
      <c r="PD2" s="62"/>
      <c r="PE2" s="62"/>
      <c r="PF2" s="62"/>
      <c r="PG2" s="62"/>
      <c r="PH2" s="62"/>
      <c r="PI2" s="62"/>
      <c r="PJ2" s="62"/>
      <c r="PK2" s="62"/>
      <c r="PL2" s="62"/>
      <c r="PM2" s="62"/>
      <c r="PN2" s="62"/>
      <c r="PO2" s="62"/>
      <c r="PP2" s="62"/>
      <c r="PQ2" s="62"/>
      <c r="PR2" s="62"/>
      <c r="PS2" s="62"/>
      <c r="PT2" s="62"/>
      <c r="PU2" s="62"/>
      <c r="PV2" s="62"/>
      <c r="PW2" s="62"/>
      <c r="PX2" s="62"/>
      <c r="PY2" s="62"/>
      <c r="PZ2" s="62"/>
      <c r="QA2" s="62"/>
      <c r="QB2" s="62"/>
      <c r="QC2" s="62"/>
      <c r="QD2" s="62"/>
      <c r="QE2" s="62"/>
      <c r="QF2" s="62"/>
      <c r="QG2" s="62"/>
      <c r="QH2" s="62"/>
      <c r="QI2" s="62"/>
      <c r="QJ2" s="62"/>
      <c r="QK2" s="62"/>
      <c r="QL2" s="62"/>
      <c r="QM2" s="62"/>
      <c r="QN2" s="62"/>
      <c r="QO2" s="62"/>
      <c r="QP2" s="62"/>
      <c r="QQ2" s="62"/>
      <c r="QR2" s="62"/>
      <c r="QS2" s="62"/>
      <c r="QT2" s="62"/>
      <c r="QU2" s="62"/>
      <c r="QV2" s="62"/>
      <c r="QW2" s="62"/>
      <c r="QX2" s="62"/>
      <c r="QY2" s="62"/>
      <c r="QZ2" s="62"/>
      <c r="RA2" s="62"/>
      <c r="RB2" s="62"/>
      <c r="RC2" s="62"/>
      <c r="RD2" s="62"/>
      <c r="RE2" s="62"/>
      <c r="RF2" s="62"/>
      <c r="RG2" s="62"/>
      <c r="RH2" s="62"/>
      <c r="RI2" s="62"/>
      <c r="RJ2" s="62"/>
      <c r="RK2" s="62"/>
      <c r="RL2" s="62"/>
      <c r="RM2" s="62"/>
      <c r="RN2" s="62"/>
      <c r="RO2" s="62"/>
      <c r="RP2" s="62"/>
      <c r="RQ2" s="62"/>
      <c r="RR2" s="62"/>
      <c r="RS2" s="62"/>
      <c r="RT2" s="62"/>
      <c r="RU2" s="62"/>
      <c r="RV2" s="62"/>
      <c r="RW2" s="62"/>
      <c r="RX2" s="62"/>
      <c r="RY2" s="62"/>
      <c r="RZ2" s="62"/>
    </row>
    <row r="3" spans="1:494" ht="34.5" customHeight="1" thickBot="1">
      <c r="A3" s="83" t="s">
        <v>8</v>
      </c>
      <c r="B3" s="80" t="s">
        <v>130</v>
      </c>
      <c r="C3" s="79" t="s">
        <v>131</v>
      </c>
      <c r="D3" s="79" t="s">
        <v>132</v>
      </c>
      <c r="E3" s="81" t="s">
        <v>133</v>
      </c>
      <c r="F3" s="80" t="s">
        <v>130</v>
      </c>
      <c r="G3" s="79" t="s">
        <v>131</v>
      </c>
      <c r="H3" s="79" t="s">
        <v>132</v>
      </c>
      <c r="I3" s="81" t="s">
        <v>133</v>
      </c>
      <c r="J3" s="79" t="s">
        <v>130</v>
      </c>
      <c r="K3" s="79" t="s">
        <v>131</v>
      </c>
      <c r="L3" s="79" t="s">
        <v>132</v>
      </c>
      <c r="M3" s="88" t="s">
        <v>133</v>
      </c>
      <c r="N3" s="80" t="s">
        <v>130</v>
      </c>
      <c r="O3" s="79" t="s">
        <v>131</v>
      </c>
      <c r="P3" s="79" t="s">
        <v>132</v>
      </c>
      <c r="Q3" s="146" t="s">
        <v>133</v>
      </c>
      <c r="R3" s="80" t="s">
        <v>130</v>
      </c>
      <c r="S3" s="79" t="s">
        <v>131</v>
      </c>
      <c r="T3" s="79" t="s">
        <v>132</v>
      </c>
      <c r="U3" s="146" t="s">
        <v>133</v>
      </c>
    </row>
    <row r="4" spans="1:494" s="15" customFormat="1" ht="24.95" customHeight="1" thickBot="1">
      <c r="A4" s="84" t="s">
        <v>92</v>
      </c>
      <c r="B4" s="181">
        <v>205.10900000000001</v>
      </c>
      <c r="C4" s="179">
        <v>304.61200000000002</v>
      </c>
      <c r="D4" s="179">
        <v>476.67400000000004</v>
      </c>
      <c r="E4" s="290">
        <v>598.298</v>
      </c>
      <c r="F4" s="181">
        <v>95.105000000000004</v>
      </c>
      <c r="G4" s="179">
        <v>175.85</v>
      </c>
      <c r="H4" s="179">
        <v>352.30099999999999</v>
      </c>
      <c r="I4" s="290">
        <v>525.44500000000005</v>
      </c>
      <c r="J4" s="179">
        <v>98.171999999999997</v>
      </c>
      <c r="K4" s="179">
        <f>'Consolidated income statement'!M25+'Consolidated income statement'!L25</f>
        <v>230.30000000000004</v>
      </c>
      <c r="L4" s="179">
        <v>278.5</v>
      </c>
      <c r="M4" s="180">
        <f>'Consolidated income statement'!P25</f>
        <v>292.49999999999886</v>
      </c>
      <c r="N4" s="181">
        <v>170.8</v>
      </c>
      <c r="O4" s="179">
        <v>475.29999999999984</v>
      </c>
      <c r="P4" s="179">
        <f>SUM('Consolidated income statement'!Q25:S25)</f>
        <v>977.79999999999973</v>
      </c>
      <c r="Q4" s="182">
        <f>'Consolidated income statement'!U25</f>
        <v>1163.3999999999994</v>
      </c>
      <c r="R4" s="181">
        <f>'Consolidated income statement'!V25</f>
        <v>178.50000000000006</v>
      </c>
      <c r="S4" s="179">
        <f>'Consolidated income statement'!W25+'Consolidated income statement'!V25</f>
        <v>409.40000000000043</v>
      </c>
      <c r="T4" s="179">
        <f>'Consolidated income statement'!V25+'Consolidated income statement'!X25+'Consolidated income statement'!W25</f>
        <v>679.20000000000061</v>
      </c>
      <c r="U4" s="182">
        <f>'Consolidated income statement'!Y25+T4</f>
        <v>1021.0000000000006</v>
      </c>
    </row>
    <row r="5" spans="1:494" s="15" customFormat="1" ht="24.95" customHeight="1" thickBot="1">
      <c r="A5" s="84" t="s">
        <v>93</v>
      </c>
      <c r="B5" s="291">
        <f t="shared" ref="B5:U5" si="0">SUM(B6:B23)</f>
        <v>28.31799999999998</v>
      </c>
      <c r="C5" s="292">
        <f t="shared" si="0"/>
        <v>110.99899999999997</v>
      </c>
      <c r="D5" s="292">
        <f t="shared" si="0"/>
        <v>152.09600000000003</v>
      </c>
      <c r="E5" s="290">
        <f t="shared" si="0"/>
        <v>244.9200000000001</v>
      </c>
      <c r="F5" s="181">
        <f t="shared" si="0"/>
        <v>70.556999999999988</v>
      </c>
      <c r="G5" s="179">
        <f t="shared" si="0"/>
        <v>176.07799999999997</v>
      </c>
      <c r="H5" s="179">
        <f t="shared" si="0"/>
        <v>195.94299999999996</v>
      </c>
      <c r="I5" s="290">
        <f t="shared" si="0"/>
        <v>334.28999999999991</v>
      </c>
      <c r="J5" s="179">
        <f t="shared" si="0"/>
        <v>86.532000000000011</v>
      </c>
      <c r="K5" s="179">
        <f t="shared" si="0"/>
        <v>505.40000000000015</v>
      </c>
      <c r="L5" s="179">
        <f t="shared" si="0"/>
        <v>1145.4000000000003</v>
      </c>
      <c r="M5" s="180">
        <f t="shared" si="0"/>
        <v>1825.2999999999997</v>
      </c>
      <c r="N5" s="181">
        <f t="shared" si="0"/>
        <v>282.2000000000001</v>
      </c>
      <c r="O5" s="179">
        <f t="shared" si="0"/>
        <v>852.69999999999982</v>
      </c>
      <c r="P5" s="179">
        <f t="shared" si="0"/>
        <v>1195.6999999999994</v>
      </c>
      <c r="Q5" s="182">
        <f t="shared" si="0"/>
        <v>1821.6999999999998</v>
      </c>
      <c r="R5" s="181">
        <f t="shared" si="0"/>
        <v>405.9</v>
      </c>
      <c r="S5" s="179">
        <f t="shared" si="0"/>
        <v>1140</v>
      </c>
      <c r="T5" s="179">
        <f t="shared" si="0"/>
        <v>1678.3000000000002</v>
      </c>
      <c r="U5" s="182">
        <f t="shared" si="0"/>
        <v>2130.5</v>
      </c>
    </row>
    <row r="6" spans="1:494" s="15" customFormat="1" ht="20.100000000000001" customHeight="1">
      <c r="A6" s="85" t="s">
        <v>17</v>
      </c>
      <c r="B6" s="185">
        <v>54.433</v>
      </c>
      <c r="C6" s="186">
        <v>111.117</v>
      </c>
      <c r="D6" s="186">
        <v>171.35499999999999</v>
      </c>
      <c r="E6" s="293">
        <v>243.066</v>
      </c>
      <c r="F6" s="185">
        <v>60.698</v>
      </c>
      <c r="G6" s="186">
        <v>122.961</v>
      </c>
      <c r="H6" s="186">
        <v>187.82599999999999</v>
      </c>
      <c r="I6" s="293">
        <v>256.416</v>
      </c>
      <c r="J6" s="183">
        <v>62.434000000000005</v>
      </c>
      <c r="K6" s="183">
        <v>373.8</v>
      </c>
      <c r="L6" s="183">
        <v>852.1</v>
      </c>
      <c r="M6" s="184">
        <v>1295.9000000000001</v>
      </c>
      <c r="N6" s="185">
        <v>467.9</v>
      </c>
      <c r="O6" s="186">
        <v>861.4</v>
      </c>
      <c r="P6" s="186">
        <v>1262.5999999999999</v>
      </c>
      <c r="Q6" s="187">
        <v>1699.3</v>
      </c>
      <c r="R6" s="185">
        <v>423.7</v>
      </c>
      <c r="S6" s="186">
        <v>951.2</v>
      </c>
      <c r="T6" s="186">
        <v>1459.1</v>
      </c>
      <c r="U6" s="187">
        <v>1971.5</v>
      </c>
    </row>
    <row r="7" spans="1:494" s="15" customFormat="1" ht="20.100000000000001" customHeight="1">
      <c r="A7" s="85" t="s">
        <v>94</v>
      </c>
      <c r="B7" s="185">
        <v>-29.711000000000002</v>
      </c>
      <c r="C7" s="186">
        <v>-88.683000000000007</v>
      </c>
      <c r="D7" s="186">
        <v>-140.589</v>
      </c>
      <c r="E7" s="293">
        <v>-177.86799999999999</v>
      </c>
      <c r="F7" s="185">
        <v>-44.32</v>
      </c>
      <c r="G7" s="186">
        <v>-122.45100000000001</v>
      </c>
      <c r="H7" s="186">
        <v>-189.477</v>
      </c>
      <c r="I7" s="293">
        <v>-222.45600000000002</v>
      </c>
      <c r="J7" s="183">
        <v>-109.42100000000001</v>
      </c>
      <c r="K7" s="183">
        <v>-148.9</v>
      </c>
      <c r="L7" s="183">
        <v>-224.7</v>
      </c>
      <c r="M7" s="184">
        <v>-306.8</v>
      </c>
      <c r="N7" s="185">
        <v>-41.5</v>
      </c>
      <c r="O7" s="186">
        <v>-115.2</v>
      </c>
      <c r="P7" s="186">
        <v>-195.4</v>
      </c>
      <c r="Q7" s="187">
        <v>-238.1</v>
      </c>
      <c r="R7" s="185">
        <v>-58.1</v>
      </c>
      <c r="S7" s="186">
        <v>-119</v>
      </c>
      <c r="T7" s="186">
        <v>-189.6</v>
      </c>
      <c r="U7" s="187">
        <v>-246.5</v>
      </c>
    </row>
    <row r="8" spans="1:494" s="15" customFormat="1" ht="20.100000000000001" customHeight="1">
      <c r="A8" s="85" t="s">
        <v>95</v>
      </c>
      <c r="B8" s="185">
        <v>46.908999999999999</v>
      </c>
      <c r="C8" s="186">
        <v>99.832000000000008</v>
      </c>
      <c r="D8" s="186">
        <v>145.40600000000001</v>
      </c>
      <c r="E8" s="293">
        <v>194.52100000000002</v>
      </c>
      <c r="F8" s="185">
        <v>46.048999999999999</v>
      </c>
      <c r="G8" s="186">
        <v>102.423</v>
      </c>
      <c r="H8" s="186">
        <v>162.63200000000001</v>
      </c>
      <c r="I8" s="293">
        <v>220.37100000000001</v>
      </c>
      <c r="J8" s="183">
        <v>40.084000000000003</v>
      </c>
      <c r="K8" s="183">
        <v>85.1</v>
      </c>
      <c r="L8" s="183">
        <v>162.19999999999999</v>
      </c>
      <c r="M8" s="184">
        <v>224.4</v>
      </c>
      <c r="N8" s="185">
        <v>43.7</v>
      </c>
      <c r="O8" s="186">
        <v>90.5</v>
      </c>
      <c r="P8" s="186">
        <v>149.9</v>
      </c>
      <c r="Q8" s="187">
        <v>212.6</v>
      </c>
      <c r="R8" s="185">
        <v>49.1</v>
      </c>
      <c r="S8" s="186">
        <v>125.3</v>
      </c>
      <c r="T8" s="186">
        <v>173.5</v>
      </c>
      <c r="U8" s="187">
        <v>230.7</v>
      </c>
    </row>
    <row r="9" spans="1:494" s="15" customFormat="1" ht="20.100000000000001" customHeight="1">
      <c r="A9" s="85" t="s">
        <v>96</v>
      </c>
      <c r="B9" s="185">
        <v>-1.0999999999999999E-2</v>
      </c>
      <c r="C9" s="186">
        <v>-0.25700000000000001</v>
      </c>
      <c r="D9" s="186">
        <v>-0.48299999999999998</v>
      </c>
      <c r="E9" s="293">
        <v>-0.111</v>
      </c>
      <c r="F9" s="185">
        <v>5.8000000000000003E-2</v>
      </c>
      <c r="G9" s="186">
        <v>7.2999999999999995E-2</v>
      </c>
      <c r="H9" s="186">
        <v>-38.896000000000001</v>
      </c>
      <c r="I9" s="293">
        <v>-35.765000000000001</v>
      </c>
      <c r="J9" s="183">
        <v>-5.2999999999999999E-2</v>
      </c>
      <c r="K9" s="183">
        <v>-0.7</v>
      </c>
      <c r="L9" s="183">
        <v>-2.4</v>
      </c>
      <c r="M9" s="184">
        <v>-2.9</v>
      </c>
      <c r="N9" s="185">
        <v>-0.4</v>
      </c>
      <c r="O9" s="186">
        <v>-4.8</v>
      </c>
      <c r="P9" s="186">
        <v>-5.7</v>
      </c>
      <c r="Q9" s="187">
        <v>-6.9</v>
      </c>
      <c r="R9" s="312" t="s">
        <v>1</v>
      </c>
      <c r="S9" s="313" t="s">
        <v>1</v>
      </c>
      <c r="T9" s="313" t="s">
        <v>1</v>
      </c>
      <c r="U9" s="316" t="s">
        <v>1</v>
      </c>
    </row>
    <row r="10" spans="1:494" s="15" customFormat="1" ht="20.100000000000001" customHeight="1">
      <c r="A10" s="85" t="s">
        <v>97</v>
      </c>
      <c r="B10" s="185">
        <v>2.3109999999999999</v>
      </c>
      <c r="C10" s="186">
        <v>4.6020000000000003</v>
      </c>
      <c r="D10" s="186">
        <v>6.1379999999999999</v>
      </c>
      <c r="E10" s="293">
        <v>9.2439999999999998</v>
      </c>
      <c r="F10" s="185">
        <v>3.504</v>
      </c>
      <c r="G10" s="186">
        <v>5.843</v>
      </c>
      <c r="H10" s="186">
        <v>6.3049999999999997</v>
      </c>
      <c r="I10" s="293">
        <v>6.407</v>
      </c>
      <c r="J10" s="183">
        <v>4.1000000000000002E-2</v>
      </c>
      <c r="K10" s="183">
        <v>0.1</v>
      </c>
      <c r="L10" s="183">
        <v>30.4</v>
      </c>
      <c r="M10" s="184">
        <v>30.5</v>
      </c>
      <c r="N10" s="185">
        <v>0.1</v>
      </c>
      <c r="O10" s="186">
        <v>0.5</v>
      </c>
      <c r="P10" s="186">
        <v>0.5</v>
      </c>
      <c r="Q10" s="187">
        <v>1.4</v>
      </c>
      <c r="R10" s="312" t="s">
        <v>1</v>
      </c>
      <c r="S10" s="313" t="s">
        <v>1</v>
      </c>
      <c r="T10" s="313" t="s">
        <v>1</v>
      </c>
      <c r="U10" s="316" t="s">
        <v>1</v>
      </c>
    </row>
    <row r="11" spans="1:494" s="15" customFormat="1" ht="20.100000000000001" customHeight="1">
      <c r="A11" s="85" t="s">
        <v>98</v>
      </c>
      <c r="B11" s="185">
        <v>52.017000000000003</v>
      </c>
      <c r="C11" s="186">
        <v>105.822</v>
      </c>
      <c r="D11" s="186">
        <v>156.893</v>
      </c>
      <c r="E11" s="293">
        <v>205.185</v>
      </c>
      <c r="F11" s="185">
        <v>46.368000000000002</v>
      </c>
      <c r="G11" s="186">
        <v>93.388999999999996</v>
      </c>
      <c r="H11" s="186">
        <v>140.42699999999999</v>
      </c>
      <c r="I11" s="293">
        <v>183.81100000000001</v>
      </c>
      <c r="J11" s="183">
        <v>90.381</v>
      </c>
      <c r="K11" s="183">
        <v>248.5</v>
      </c>
      <c r="L11" s="183">
        <v>421.4</v>
      </c>
      <c r="M11" s="184">
        <v>603.70000000000005</v>
      </c>
      <c r="N11" s="185">
        <v>177.4</v>
      </c>
      <c r="O11" s="186">
        <v>348.5</v>
      </c>
      <c r="P11" s="186">
        <v>581.29999999999995</v>
      </c>
      <c r="Q11" s="187">
        <v>763.6</v>
      </c>
      <c r="R11" s="185">
        <v>144.69999999999999</v>
      </c>
      <c r="S11" s="186">
        <v>285.89999999999998</v>
      </c>
      <c r="T11" s="186">
        <v>417.4</v>
      </c>
      <c r="U11" s="187">
        <v>541.9</v>
      </c>
    </row>
    <row r="12" spans="1:494" s="15" customFormat="1" ht="20.100000000000001" customHeight="1">
      <c r="A12" s="85" t="s">
        <v>99</v>
      </c>
      <c r="B12" s="185">
        <v>-7.2490000000000006</v>
      </c>
      <c r="C12" s="186">
        <v>-7.3810000000000002</v>
      </c>
      <c r="D12" s="186">
        <v>1.093</v>
      </c>
      <c r="E12" s="293">
        <v>16.173000000000002</v>
      </c>
      <c r="F12" s="185">
        <v>11.273</v>
      </c>
      <c r="G12" s="186">
        <v>4.4740000000000002</v>
      </c>
      <c r="H12" s="186">
        <v>5.9119999999999999</v>
      </c>
      <c r="I12" s="293">
        <v>14.839</v>
      </c>
      <c r="J12" s="183">
        <v>-16.302</v>
      </c>
      <c r="K12" s="183">
        <v>-41.8</v>
      </c>
      <c r="L12" s="183">
        <v>-14.7</v>
      </c>
      <c r="M12" s="184">
        <v>0.5</v>
      </c>
      <c r="N12" s="185">
        <v>48.6</v>
      </c>
      <c r="O12" s="186">
        <v>45.6</v>
      </c>
      <c r="P12" s="186">
        <v>43.3</v>
      </c>
      <c r="Q12" s="187">
        <v>26.4</v>
      </c>
      <c r="R12" s="185">
        <v>21.5</v>
      </c>
      <c r="S12" s="186">
        <v>11.7</v>
      </c>
      <c r="T12" s="186">
        <v>0.7</v>
      </c>
      <c r="U12" s="187">
        <v>3</v>
      </c>
    </row>
    <row r="13" spans="1:494" s="15" customFormat="1" ht="20.100000000000001" customHeight="1">
      <c r="A13" s="85" t="s">
        <v>100</v>
      </c>
      <c r="B13" s="185">
        <v>-48.496000000000002</v>
      </c>
      <c r="C13" s="186">
        <v>-85.073000000000008</v>
      </c>
      <c r="D13" s="186">
        <v>-90.59</v>
      </c>
      <c r="E13" s="293">
        <v>-106.816</v>
      </c>
      <c r="F13" s="185">
        <v>-18.654</v>
      </c>
      <c r="G13" s="186">
        <v>-16.358000000000001</v>
      </c>
      <c r="H13" s="186">
        <v>16.681000000000001</v>
      </c>
      <c r="I13" s="293">
        <v>60.908000000000001</v>
      </c>
      <c r="J13" s="183">
        <v>-5.1610000000000005</v>
      </c>
      <c r="K13" s="183">
        <v>-29.2</v>
      </c>
      <c r="L13" s="183">
        <v>-87.6</v>
      </c>
      <c r="M13" s="184">
        <v>-191.9</v>
      </c>
      <c r="N13" s="185">
        <v>-211.8</v>
      </c>
      <c r="O13" s="186">
        <v>-581.20000000000005</v>
      </c>
      <c r="P13" s="186">
        <v>-349.3</v>
      </c>
      <c r="Q13" s="187">
        <v>-478.2</v>
      </c>
      <c r="R13" s="185">
        <v>-33.9</v>
      </c>
      <c r="S13" s="186">
        <v>-105.3</v>
      </c>
      <c r="T13" s="186">
        <v>-164.6</v>
      </c>
      <c r="U13" s="187">
        <v>-329.9</v>
      </c>
    </row>
    <row r="14" spans="1:494" s="15" customFormat="1" ht="20.100000000000001" customHeight="1">
      <c r="A14" s="85" t="s">
        <v>101</v>
      </c>
      <c r="B14" s="185">
        <v>53.564</v>
      </c>
      <c r="C14" s="186">
        <v>51.881</v>
      </c>
      <c r="D14" s="186">
        <v>66.406999999999996</v>
      </c>
      <c r="E14" s="293">
        <v>67.872</v>
      </c>
      <c r="F14" s="185">
        <v>-36.840000000000003</v>
      </c>
      <c r="G14" s="186">
        <v>-56.231999999999999</v>
      </c>
      <c r="H14" s="186">
        <v>-85.896000000000001</v>
      </c>
      <c r="I14" s="293">
        <v>-104.93900000000001</v>
      </c>
      <c r="J14" s="183">
        <v>31.469000000000001</v>
      </c>
      <c r="K14" s="183">
        <v>-73.8</v>
      </c>
      <c r="L14" s="183">
        <v>-175.9</v>
      </c>
      <c r="M14" s="184">
        <v>-277.7</v>
      </c>
      <c r="N14" s="185">
        <v>-216.1</v>
      </c>
      <c r="O14" s="186">
        <v>69.3</v>
      </c>
      <c r="P14" s="186">
        <v>-184.3</v>
      </c>
      <c r="Q14" s="187">
        <v>-118</v>
      </c>
      <c r="R14" s="185">
        <v>-205.9</v>
      </c>
      <c r="S14" s="186">
        <v>-106.7</v>
      </c>
      <c r="T14" s="186">
        <v>-141.30000000000001</v>
      </c>
      <c r="U14" s="187">
        <v>-33.299999999999997</v>
      </c>
    </row>
    <row r="15" spans="1:494" s="15" customFormat="1" ht="20.100000000000001" customHeight="1">
      <c r="A15" s="85" t="s">
        <v>102</v>
      </c>
      <c r="B15" s="185">
        <v>-0.186</v>
      </c>
      <c r="C15" s="186">
        <v>4.0730000000000004</v>
      </c>
      <c r="D15" s="186">
        <v>0.502</v>
      </c>
      <c r="E15" s="293">
        <v>2.093</v>
      </c>
      <c r="F15" s="185">
        <v>-1.048</v>
      </c>
      <c r="G15" s="186">
        <v>2.4170000000000003</v>
      </c>
      <c r="H15" s="186">
        <v>-3.5390000000000001</v>
      </c>
      <c r="I15" s="293">
        <v>6.4770000000000003</v>
      </c>
      <c r="J15" s="183">
        <v>-13.309000000000001</v>
      </c>
      <c r="K15" s="183">
        <v>-1.5</v>
      </c>
      <c r="L15" s="183">
        <v>-17.399999999999999</v>
      </c>
      <c r="M15" s="184">
        <v>-4.9000000000000004</v>
      </c>
      <c r="N15" s="185">
        <v>-11.7</v>
      </c>
      <c r="O15" s="186">
        <v>-7.6</v>
      </c>
      <c r="P15" s="186">
        <v>-17.7</v>
      </c>
      <c r="Q15" s="187">
        <v>-3.9</v>
      </c>
      <c r="R15" s="185">
        <v>-11.1</v>
      </c>
      <c r="S15" s="186">
        <v>1</v>
      </c>
      <c r="T15" s="186">
        <v>-5.6</v>
      </c>
      <c r="U15" s="187">
        <v>-6.1</v>
      </c>
    </row>
    <row r="16" spans="1:494" s="15" customFormat="1" ht="20.100000000000001" customHeight="1">
      <c r="A16" s="85" t="s">
        <v>103</v>
      </c>
      <c r="B16" s="185">
        <v>-9.7880000000000003</v>
      </c>
      <c r="C16" s="186">
        <v>-10.354000000000001</v>
      </c>
      <c r="D16" s="186">
        <v>-21.978000000000002</v>
      </c>
      <c r="E16" s="293">
        <v>-31.345000000000002</v>
      </c>
      <c r="F16" s="185">
        <v>3.66</v>
      </c>
      <c r="G16" s="186">
        <v>9.0690000000000008</v>
      </c>
      <c r="H16" s="186">
        <v>11.329000000000001</v>
      </c>
      <c r="I16" s="293">
        <v>14.404</v>
      </c>
      <c r="J16" s="183">
        <v>11.066000000000001</v>
      </c>
      <c r="K16" s="183">
        <v>11.1</v>
      </c>
      <c r="L16" s="183">
        <v>-0.2</v>
      </c>
      <c r="M16" s="184">
        <v>-3.9</v>
      </c>
      <c r="N16" s="185">
        <v>-0.6</v>
      </c>
      <c r="O16" s="186">
        <v>5.3</v>
      </c>
      <c r="P16" s="186">
        <v>4.8</v>
      </c>
      <c r="Q16" s="187">
        <v>6.6</v>
      </c>
      <c r="R16" s="185">
        <v>2.5</v>
      </c>
      <c r="S16" s="186">
        <v>4.7</v>
      </c>
      <c r="T16" s="186">
        <v>7.3</v>
      </c>
      <c r="U16" s="187">
        <v>9.8000000000000007</v>
      </c>
    </row>
    <row r="17" spans="1:21" s="15" customFormat="1" ht="20.100000000000001" customHeight="1">
      <c r="A17" s="85" t="s">
        <v>27</v>
      </c>
      <c r="B17" s="185">
        <v>-0.73</v>
      </c>
      <c r="C17" s="186">
        <v>-1.5010000000000001</v>
      </c>
      <c r="D17" s="186">
        <v>-2.044</v>
      </c>
      <c r="E17" s="293">
        <v>-2.8970000000000002</v>
      </c>
      <c r="F17" s="185">
        <v>-0.76200000000000001</v>
      </c>
      <c r="G17" s="186">
        <v>-1.58</v>
      </c>
      <c r="H17" s="186">
        <v>-2.3290000000000002</v>
      </c>
      <c r="I17" s="293">
        <v>-2.9239999999999999</v>
      </c>
      <c r="J17" s="183">
        <v>-0.63300000000000001</v>
      </c>
      <c r="K17" s="183">
        <v>-1.3</v>
      </c>
      <c r="L17" s="183">
        <v>-2</v>
      </c>
      <c r="M17" s="184">
        <v>-2.6</v>
      </c>
      <c r="N17" s="185">
        <v>-0.5</v>
      </c>
      <c r="O17" s="186">
        <v>-1.4</v>
      </c>
      <c r="P17" s="186">
        <v>-1.9</v>
      </c>
      <c r="Q17" s="187">
        <v>-2.6</v>
      </c>
      <c r="R17" s="185">
        <v>-0.8</v>
      </c>
      <c r="S17" s="186">
        <v>0</v>
      </c>
      <c r="T17" s="186">
        <v>0</v>
      </c>
      <c r="U17" s="187">
        <v>0</v>
      </c>
    </row>
    <row r="18" spans="1:21" s="15" customFormat="1" ht="20.100000000000001" customHeight="1">
      <c r="A18" s="85" t="s">
        <v>104</v>
      </c>
      <c r="B18" s="185">
        <v>-87.786000000000001</v>
      </c>
      <c r="C18" s="186">
        <v>-51.798000000000002</v>
      </c>
      <c r="D18" s="186">
        <v>-102.06700000000001</v>
      </c>
      <c r="E18" s="293">
        <v>-111.07600000000001</v>
      </c>
      <c r="F18" s="185">
        <v>25.975999999999999</v>
      </c>
      <c r="G18" s="186">
        <v>77.412999999999997</v>
      </c>
      <c r="H18" s="186">
        <v>39.252000000000002</v>
      </c>
      <c r="I18" s="293">
        <v>16.294</v>
      </c>
      <c r="J18" s="183">
        <v>10.337</v>
      </c>
      <c r="K18" s="183">
        <v>8.8000000000000007</v>
      </c>
      <c r="L18" s="183">
        <v>164.9</v>
      </c>
      <c r="M18" s="184">
        <v>369.9</v>
      </c>
      <c r="N18" s="185">
        <v>37.1</v>
      </c>
      <c r="O18" s="186">
        <v>99.2</v>
      </c>
      <c r="P18" s="186">
        <v>135.80000000000001</v>
      </c>
      <c r="Q18" s="187">
        <v>222</v>
      </c>
      <c r="R18" s="185">
        <v>250.2</v>
      </c>
      <c r="S18" s="186">
        <v>276.10000000000002</v>
      </c>
      <c r="T18" s="186">
        <v>258.3</v>
      </c>
      <c r="U18" s="187">
        <v>270.89999999999998</v>
      </c>
    </row>
    <row r="19" spans="1:21" s="15" customFormat="1" ht="20.100000000000001" customHeight="1">
      <c r="A19" s="85" t="s">
        <v>29</v>
      </c>
      <c r="B19" s="185">
        <v>41.158999999999999</v>
      </c>
      <c r="C19" s="186">
        <v>54.56</v>
      </c>
      <c r="D19" s="186">
        <v>80.768000000000001</v>
      </c>
      <c r="E19" s="293">
        <v>97.349000000000004</v>
      </c>
      <c r="F19" s="185">
        <v>14.031000000000001</v>
      </c>
      <c r="G19" s="186">
        <v>27.457000000000001</v>
      </c>
      <c r="H19" s="186">
        <v>51.835000000000001</v>
      </c>
      <c r="I19" s="293">
        <v>67.376000000000005</v>
      </c>
      <c r="J19" s="183">
        <v>14.384</v>
      </c>
      <c r="K19" s="183">
        <v>31.1</v>
      </c>
      <c r="L19" s="183">
        <v>32.200000000000003</v>
      </c>
      <c r="M19" s="184">
        <v>21.7</v>
      </c>
      <c r="N19" s="185">
        <v>26</v>
      </c>
      <c r="O19" s="186">
        <v>71.900000000000006</v>
      </c>
      <c r="P19" s="186">
        <v>182.7</v>
      </c>
      <c r="Q19" s="187">
        <v>169</v>
      </c>
      <c r="R19" s="185">
        <v>27.2</v>
      </c>
      <c r="S19" s="186">
        <v>48.4</v>
      </c>
      <c r="T19" s="186">
        <v>113.5</v>
      </c>
      <c r="U19" s="187">
        <v>12.4</v>
      </c>
    </row>
    <row r="20" spans="1:21" s="15" customFormat="1" ht="20.100000000000001" customHeight="1">
      <c r="A20" s="85" t="s">
        <v>105</v>
      </c>
      <c r="B20" s="185">
        <v>-38.363</v>
      </c>
      <c r="C20" s="186">
        <v>-76.626000000000005</v>
      </c>
      <c r="D20" s="186">
        <v>-120.02500000000001</v>
      </c>
      <c r="E20" s="293">
        <v>-164.00800000000001</v>
      </c>
      <c r="F20" s="185">
        <v>-40.92</v>
      </c>
      <c r="G20" s="186">
        <v>-81.858999999999995</v>
      </c>
      <c r="H20" s="186">
        <v>-116.813</v>
      </c>
      <c r="I20" s="293">
        <v>-158.85900000000001</v>
      </c>
      <c r="J20" s="183">
        <v>-30.564</v>
      </c>
      <c r="K20" s="183">
        <v>-65.3</v>
      </c>
      <c r="L20" s="183">
        <v>-142.1</v>
      </c>
      <c r="M20" s="184">
        <v>-193.1</v>
      </c>
      <c r="N20" s="185">
        <v>-43.6</v>
      </c>
      <c r="O20" s="186">
        <v>-72.2</v>
      </c>
      <c r="P20" s="186">
        <v>-96.7</v>
      </c>
      <c r="Q20" s="187">
        <v>-134.69999999999999</v>
      </c>
      <c r="R20" s="185">
        <v>-31.1</v>
      </c>
      <c r="S20" s="186">
        <v>-71.2</v>
      </c>
      <c r="T20" s="186">
        <v>-111</v>
      </c>
      <c r="U20" s="187">
        <v>-153</v>
      </c>
    </row>
    <row r="21" spans="1:21" s="15" customFormat="1" ht="20.100000000000001" customHeight="1">
      <c r="A21" s="85" t="s">
        <v>174</v>
      </c>
      <c r="B21" s="197">
        <v>0</v>
      </c>
      <c r="C21" s="198">
        <v>0</v>
      </c>
      <c r="D21" s="198">
        <v>0</v>
      </c>
      <c r="E21" s="199">
        <v>0</v>
      </c>
      <c r="F21" s="197">
        <v>0</v>
      </c>
      <c r="G21" s="198">
        <v>0</v>
      </c>
      <c r="H21" s="198">
        <v>0</v>
      </c>
      <c r="I21" s="199">
        <v>0</v>
      </c>
      <c r="J21" s="200">
        <v>0</v>
      </c>
      <c r="K21" s="183">
        <v>82.1</v>
      </c>
      <c r="L21" s="183">
        <v>82.1</v>
      </c>
      <c r="M21" s="184">
        <v>82.1</v>
      </c>
      <c r="N21" s="185">
        <v>0</v>
      </c>
      <c r="O21" s="186">
        <v>0</v>
      </c>
      <c r="P21" s="186">
        <v>-371.4</v>
      </c>
      <c r="Q21" s="187">
        <v>-371.4</v>
      </c>
      <c r="R21" s="185">
        <v>0</v>
      </c>
      <c r="S21" s="186">
        <v>0</v>
      </c>
      <c r="T21" s="186">
        <v>0</v>
      </c>
      <c r="U21" s="187">
        <v>0</v>
      </c>
    </row>
    <row r="22" spans="1:21" s="15" customFormat="1" ht="20.100000000000001" customHeight="1">
      <c r="A22" s="85" t="s">
        <v>173</v>
      </c>
      <c r="B22" s="197">
        <v>0</v>
      </c>
      <c r="C22" s="198">
        <v>0</v>
      </c>
      <c r="D22" s="198">
        <v>0</v>
      </c>
      <c r="E22" s="199">
        <v>0</v>
      </c>
      <c r="F22" s="197">
        <v>0</v>
      </c>
      <c r="G22" s="198">
        <v>0</v>
      </c>
      <c r="H22" s="198">
        <v>0</v>
      </c>
      <c r="I22" s="199">
        <v>0</v>
      </c>
      <c r="J22" s="200">
        <v>0</v>
      </c>
      <c r="K22" s="183">
        <v>16.5</v>
      </c>
      <c r="L22" s="183">
        <v>55.4</v>
      </c>
      <c r="M22" s="184">
        <v>84.3</v>
      </c>
      <c r="N22" s="185">
        <v>10.6</v>
      </c>
      <c r="O22" s="186">
        <v>33.9</v>
      </c>
      <c r="P22" s="186">
        <v>37.6</v>
      </c>
      <c r="Q22" s="187">
        <v>53</v>
      </c>
      <c r="R22" s="185">
        <v>-174.6</v>
      </c>
      <c r="S22" s="186">
        <v>-160.19999999999999</v>
      </c>
      <c r="T22" s="186">
        <v>-161.9</v>
      </c>
      <c r="U22" s="187">
        <v>-164.9</v>
      </c>
    </row>
    <row r="23" spans="1:21" s="15" customFormat="1" ht="20.100000000000001" customHeight="1" thickBot="1">
      <c r="A23" s="85" t="s">
        <v>106</v>
      </c>
      <c r="B23" s="185">
        <v>0.245</v>
      </c>
      <c r="C23" s="186">
        <v>0.78500000000000003</v>
      </c>
      <c r="D23" s="186">
        <v>1.31</v>
      </c>
      <c r="E23" s="293">
        <v>3.5380000000000003</v>
      </c>
      <c r="F23" s="185">
        <v>1.484</v>
      </c>
      <c r="G23" s="186">
        <f>4.197+4.842</f>
        <v>9.0389999999999997</v>
      </c>
      <c r="H23" s="186">
        <f>5.852+4.842</f>
        <v>10.693999999999999</v>
      </c>
      <c r="I23" s="293">
        <v>11.93</v>
      </c>
      <c r="J23" s="183">
        <v>1.7790000000000001</v>
      </c>
      <c r="K23" s="183">
        <v>10.8</v>
      </c>
      <c r="L23" s="183">
        <v>11.7</v>
      </c>
      <c r="M23" s="184">
        <v>96.1</v>
      </c>
      <c r="N23" s="185">
        <v>-3</v>
      </c>
      <c r="O23" s="186">
        <v>9</v>
      </c>
      <c r="P23" s="186">
        <v>19.600000000000001</v>
      </c>
      <c r="Q23" s="187">
        <v>21.6</v>
      </c>
      <c r="R23" s="185">
        <v>2.5</v>
      </c>
      <c r="S23" s="186">
        <v>-1.9</v>
      </c>
      <c r="T23" s="186">
        <v>22.5</v>
      </c>
      <c r="U23" s="187">
        <v>24</v>
      </c>
    </row>
    <row r="24" spans="1:21" s="15" customFormat="1" ht="20.100000000000001" customHeight="1" thickBot="1">
      <c r="A24" s="84" t="s">
        <v>125</v>
      </c>
      <c r="B24" s="181">
        <f t="shared" ref="B24:U24" si="1">B4+B5</f>
        <v>233.42699999999999</v>
      </c>
      <c r="C24" s="179">
        <f t="shared" si="1"/>
        <v>415.61099999999999</v>
      </c>
      <c r="D24" s="179">
        <f t="shared" si="1"/>
        <v>628.7700000000001</v>
      </c>
      <c r="E24" s="290">
        <f t="shared" si="1"/>
        <v>843.21800000000007</v>
      </c>
      <c r="F24" s="181">
        <f t="shared" si="1"/>
        <v>165.66199999999998</v>
      </c>
      <c r="G24" s="179">
        <f t="shared" si="1"/>
        <v>351.928</v>
      </c>
      <c r="H24" s="179">
        <f t="shared" si="1"/>
        <v>548.24399999999991</v>
      </c>
      <c r="I24" s="290">
        <f t="shared" si="1"/>
        <v>859.7349999999999</v>
      </c>
      <c r="J24" s="179">
        <f t="shared" si="1"/>
        <v>184.70400000000001</v>
      </c>
      <c r="K24" s="179">
        <f t="shared" si="1"/>
        <v>735.70000000000016</v>
      </c>
      <c r="L24" s="179">
        <f t="shared" si="1"/>
        <v>1423.9000000000003</v>
      </c>
      <c r="M24" s="180">
        <f t="shared" si="1"/>
        <v>2117.7999999999984</v>
      </c>
      <c r="N24" s="181">
        <f t="shared" si="1"/>
        <v>453.00000000000011</v>
      </c>
      <c r="O24" s="179">
        <f t="shared" si="1"/>
        <v>1327.9999999999995</v>
      </c>
      <c r="P24" s="179">
        <f t="shared" si="1"/>
        <v>2173.4999999999991</v>
      </c>
      <c r="Q24" s="182">
        <f t="shared" si="1"/>
        <v>2985.0999999999995</v>
      </c>
      <c r="R24" s="181">
        <f t="shared" si="1"/>
        <v>584.40000000000009</v>
      </c>
      <c r="S24" s="179">
        <f t="shared" si="1"/>
        <v>1549.4000000000005</v>
      </c>
      <c r="T24" s="179">
        <f t="shared" si="1"/>
        <v>2357.5000000000009</v>
      </c>
      <c r="U24" s="182">
        <f t="shared" si="1"/>
        <v>3151.5000000000005</v>
      </c>
    </row>
    <row r="25" spans="1:21" s="15" customFormat="1" ht="20.100000000000001" customHeight="1">
      <c r="A25" s="85" t="s">
        <v>107</v>
      </c>
      <c r="B25" s="185">
        <v>-12.561</v>
      </c>
      <c r="C25" s="186">
        <v>-47.188000000000002</v>
      </c>
      <c r="D25" s="186">
        <v>-59.765999999999998</v>
      </c>
      <c r="E25" s="293">
        <v>-78.733000000000004</v>
      </c>
      <c r="F25" s="185">
        <v>-13.763</v>
      </c>
      <c r="G25" s="186">
        <v>-26.318999999999999</v>
      </c>
      <c r="H25" s="186">
        <v>-37.451999999999998</v>
      </c>
      <c r="I25" s="293">
        <v>-67.486000000000004</v>
      </c>
      <c r="J25" s="183">
        <v>-17.809000000000001</v>
      </c>
      <c r="K25" s="183">
        <v>-99.5</v>
      </c>
      <c r="L25" s="183">
        <v>-135.19999999999999</v>
      </c>
      <c r="M25" s="184">
        <v>-189.1</v>
      </c>
      <c r="N25" s="185">
        <v>-48.5</v>
      </c>
      <c r="O25" s="186">
        <v>-44.2</v>
      </c>
      <c r="P25" s="186">
        <v>-94.2</v>
      </c>
      <c r="Q25" s="187">
        <v>-136.19999999999999</v>
      </c>
      <c r="R25" s="185">
        <v>-145.69999999999999</v>
      </c>
      <c r="S25" s="186">
        <v>-186.5</v>
      </c>
      <c r="T25" s="186">
        <v>-236.1</v>
      </c>
      <c r="U25" s="187">
        <v>-292.7</v>
      </c>
    </row>
    <row r="26" spans="1:21" s="15" customFormat="1" ht="20.100000000000001" customHeight="1" thickBot="1">
      <c r="A26" s="85" t="s">
        <v>108</v>
      </c>
      <c r="B26" s="185">
        <v>3.843</v>
      </c>
      <c r="C26" s="186">
        <v>8.1440000000000001</v>
      </c>
      <c r="D26" s="186">
        <v>12.96</v>
      </c>
      <c r="E26" s="293">
        <v>16.882000000000001</v>
      </c>
      <c r="F26" s="185">
        <v>3.544</v>
      </c>
      <c r="G26" s="186">
        <v>6.1040000000000001</v>
      </c>
      <c r="H26" s="186">
        <v>8.5630000000000006</v>
      </c>
      <c r="I26" s="293">
        <v>10.41</v>
      </c>
      <c r="J26" s="183">
        <v>2.165</v>
      </c>
      <c r="K26" s="183">
        <v>13.4</v>
      </c>
      <c r="L26" s="183">
        <v>33.1</v>
      </c>
      <c r="M26" s="184">
        <v>45.2</v>
      </c>
      <c r="N26" s="185">
        <v>13.2</v>
      </c>
      <c r="O26" s="186">
        <v>20.5</v>
      </c>
      <c r="P26" s="186">
        <v>30.5</v>
      </c>
      <c r="Q26" s="187">
        <v>38.799999999999997</v>
      </c>
      <c r="R26" s="185">
        <v>8.1</v>
      </c>
      <c r="S26" s="186">
        <v>13.1</v>
      </c>
      <c r="T26" s="186">
        <v>19.5</v>
      </c>
      <c r="U26" s="187">
        <v>25.9</v>
      </c>
    </row>
    <row r="27" spans="1:21" s="15" customFormat="1" ht="24.95" customHeight="1" thickBot="1">
      <c r="A27" s="86" t="s">
        <v>124</v>
      </c>
      <c r="B27" s="190">
        <f t="shared" ref="B27:Q27" si="2">SUM(B24:B26)</f>
        <v>224.70899999999997</v>
      </c>
      <c r="C27" s="188">
        <f t="shared" si="2"/>
        <v>376.56700000000001</v>
      </c>
      <c r="D27" s="188">
        <f t="shared" si="2"/>
        <v>581.96400000000017</v>
      </c>
      <c r="E27" s="294">
        <f t="shared" si="2"/>
        <v>781.36700000000008</v>
      </c>
      <c r="F27" s="190">
        <f t="shared" si="2"/>
        <v>155.44299999999998</v>
      </c>
      <c r="G27" s="188">
        <f t="shared" si="2"/>
        <v>331.71299999999997</v>
      </c>
      <c r="H27" s="188">
        <f t="shared" si="2"/>
        <v>519.3549999999999</v>
      </c>
      <c r="I27" s="294">
        <f t="shared" si="2"/>
        <v>802.65899999999988</v>
      </c>
      <c r="J27" s="188">
        <f t="shared" si="2"/>
        <v>169.06</v>
      </c>
      <c r="K27" s="188">
        <f t="shared" si="2"/>
        <v>649.60000000000014</v>
      </c>
      <c r="L27" s="188">
        <f t="shared" si="2"/>
        <v>1321.8000000000002</v>
      </c>
      <c r="M27" s="189">
        <f t="shared" si="2"/>
        <v>1973.8999999999985</v>
      </c>
      <c r="N27" s="190">
        <f t="shared" si="2"/>
        <v>417.7000000000001</v>
      </c>
      <c r="O27" s="188">
        <f t="shared" si="2"/>
        <v>1304.2999999999995</v>
      </c>
      <c r="P27" s="188">
        <f t="shared" si="2"/>
        <v>2109.7999999999993</v>
      </c>
      <c r="Q27" s="191">
        <f t="shared" si="2"/>
        <v>2887.7</v>
      </c>
      <c r="R27" s="190">
        <f t="shared" ref="R27:T27" si="3">SUM(R24:R26)</f>
        <v>446.80000000000013</v>
      </c>
      <c r="S27" s="188">
        <f t="shared" si="3"/>
        <v>1376.0000000000005</v>
      </c>
      <c r="T27" s="188">
        <f t="shared" si="3"/>
        <v>2140.900000000001</v>
      </c>
      <c r="U27" s="191">
        <f t="shared" ref="U27" si="4">SUM(U24:U26)</f>
        <v>2884.7000000000007</v>
      </c>
    </row>
    <row r="28" spans="1:21" s="15" customFormat="1" ht="20.100000000000001" customHeight="1">
      <c r="A28" s="85" t="s">
        <v>109</v>
      </c>
      <c r="B28" s="185">
        <v>-13.759</v>
      </c>
      <c r="C28" s="186">
        <v>-28.18</v>
      </c>
      <c r="D28" s="186">
        <v>-40.478000000000002</v>
      </c>
      <c r="E28" s="293">
        <v>-54.936999999999998</v>
      </c>
      <c r="F28" s="185">
        <v>-21.702999999999999</v>
      </c>
      <c r="G28" s="186">
        <v>-40.633000000000003</v>
      </c>
      <c r="H28" s="186">
        <v>-53.000999999999998</v>
      </c>
      <c r="I28" s="293">
        <v>-60.844999999999999</v>
      </c>
      <c r="J28" s="183">
        <v>-19.433</v>
      </c>
      <c r="K28" s="183">
        <v>-93</v>
      </c>
      <c r="L28" s="183">
        <v>-180</v>
      </c>
      <c r="M28" s="184">
        <v>-263.60000000000002</v>
      </c>
      <c r="N28" s="185">
        <v>-137.6</v>
      </c>
      <c r="O28" s="186">
        <v>-187</v>
      </c>
      <c r="P28" s="186">
        <v>-323.2</v>
      </c>
      <c r="Q28" s="187">
        <v>-417.8</v>
      </c>
      <c r="R28" s="185">
        <v>-98.4</v>
      </c>
      <c r="S28" s="186">
        <v>-179.5</v>
      </c>
      <c r="T28" s="186">
        <v>-301.2</v>
      </c>
      <c r="U28" s="187">
        <v>-436.2</v>
      </c>
    </row>
    <row r="29" spans="1:21" s="15" customFormat="1" ht="20.100000000000001" customHeight="1">
      <c r="A29" s="85" t="s">
        <v>110</v>
      </c>
      <c r="B29" s="185">
        <v>-7.0449999999999999</v>
      </c>
      <c r="C29" s="186">
        <v>-11.33</v>
      </c>
      <c r="D29" s="186">
        <v>-23.225000000000001</v>
      </c>
      <c r="E29" s="293">
        <v>-36.24</v>
      </c>
      <c r="F29" s="185">
        <v>-13.377000000000001</v>
      </c>
      <c r="G29" s="186">
        <v>-20.378</v>
      </c>
      <c r="H29" s="186">
        <v>-45.453000000000003</v>
      </c>
      <c r="I29" s="293">
        <v>-62.041000000000004</v>
      </c>
      <c r="J29" s="183">
        <v>-19.987000000000002</v>
      </c>
      <c r="K29" s="183">
        <v>-46.6</v>
      </c>
      <c r="L29" s="183">
        <v>-57.4</v>
      </c>
      <c r="M29" s="184">
        <v>-71.8</v>
      </c>
      <c r="N29" s="185">
        <v>-19.100000000000001</v>
      </c>
      <c r="O29" s="186">
        <v>-90.7</v>
      </c>
      <c r="P29" s="186">
        <v>-111.1</v>
      </c>
      <c r="Q29" s="187">
        <v>-165.3</v>
      </c>
      <c r="R29" s="185">
        <v>-20.3</v>
      </c>
      <c r="S29" s="186">
        <v>-61.3</v>
      </c>
      <c r="T29" s="186">
        <v>-94.6</v>
      </c>
      <c r="U29" s="187">
        <v>-154.19999999999999</v>
      </c>
    </row>
    <row r="30" spans="1:21" s="15" customFormat="1" ht="20.100000000000001" customHeight="1">
      <c r="A30" s="85" t="s">
        <v>111</v>
      </c>
      <c r="B30" s="197">
        <v>0</v>
      </c>
      <c r="C30" s="198">
        <v>0</v>
      </c>
      <c r="D30" s="198">
        <v>0</v>
      </c>
      <c r="E30" s="199">
        <v>0</v>
      </c>
      <c r="F30" s="197">
        <v>0</v>
      </c>
      <c r="G30" s="198">
        <v>0</v>
      </c>
      <c r="H30" s="198">
        <v>0</v>
      </c>
      <c r="I30" s="199">
        <v>0</v>
      </c>
      <c r="J30" s="197">
        <v>0</v>
      </c>
      <c r="K30" s="186">
        <v>0</v>
      </c>
      <c r="L30" s="186">
        <v>-482.3</v>
      </c>
      <c r="M30" s="184">
        <v>-482.3</v>
      </c>
      <c r="N30" s="185">
        <v>0</v>
      </c>
      <c r="O30" s="186">
        <v>0</v>
      </c>
      <c r="P30" s="186">
        <v>-118.7</v>
      </c>
      <c r="Q30" s="187">
        <v>-118.7</v>
      </c>
      <c r="R30" s="185">
        <v>-147.69999999999999</v>
      </c>
      <c r="S30" s="186">
        <v>-147.69999999999999</v>
      </c>
      <c r="T30" s="186">
        <v>-268.5</v>
      </c>
      <c r="U30" s="187">
        <v>-268.5</v>
      </c>
    </row>
    <row r="31" spans="1:21" s="15" customFormat="1" ht="20.100000000000001" customHeight="1">
      <c r="A31" s="85" t="s">
        <v>112</v>
      </c>
      <c r="B31" s="185">
        <v>-2.3290000000000002</v>
      </c>
      <c r="C31" s="186">
        <v>-45.099000000000004</v>
      </c>
      <c r="D31" s="186">
        <v>-45.329000000000001</v>
      </c>
      <c r="E31" s="293">
        <v>-45.710999999999999</v>
      </c>
      <c r="F31" s="185">
        <v>-0.153</v>
      </c>
      <c r="G31" s="186">
        <v>-0.26800000000000002</v>
      </c>
      <c r="H31" s="186">
        <v>-64.186999999999998</v>
      </c>
      <c r="I31" s="293">
        <v>-64.266000000000005</v>
      </c>
      <c r="J31" s="183">
        <v>0</v>
      </c>
      <c r="K31" s="183">
        <v>1800.4</v>
      </c>
      <c r="L31" s="183">
        <v>1800.4</v>
      </c>
      <c r="M31" s="184">
        <v>1800.4</v>
      </c>
      <c r="N31" s="185">
        <v>-4.2</v>
      </c>
      <c r="O31" s="186">
        <v>-29.5</v>
      </c>
      <c r="P31" s="186">
        <v>-29.5</v>
      </c>
      <c r="Q31" s="187">
        <v>-29.5</v>
      </c>
      <c r="R31" s="185">
        <v>262.2</v>
      </c>
      <c r="S31" s="186">
        <v>-145.30000000000001</v>
      </c>
      <c r="T31" s="186">
        <v>-144.4</v>
      </c>
      <c r="U31" s="187">
        <v>-144.4</v>
      </c>
    </row>
    <row r="32" spans="1:21" s="15" customFormat="1" ht="20.100000000000001" customHeight="1">
      <c r="A32" s="85" t="s">
        <v>161</v>
      </c>
      <c r="B32" s="185">
        <v>0</v>
      </c>
      <c r="C32" s="186">
        <v>0</v>
      </c>
      <c r="D32" s="186">
        <v>0</v>
      </c>
      <c r="E32" s="293">
        <v>0</v>
      </c>
      <c r="F32" s="185">
        <v>0</v>
      </c>
      <c r="G32" s="186">
        <v>0</v>
      </c>
      <c r="H32" s="186">
        <v>48.219000000000001</v>
      </c>
      <c r="I32" s="293">
        <v>48.736000000000004</v>
      </c>
      <c r="J32" s="183">
        <v>0</v>
      </c>
      <c r="K32" s="183">
        <v>0</v>
      </c>
      <c r="L32" s="183">
        <v>0</v>
      </c>
      <c r="M32" s="184">
        <v>0</v>
      </c>
      <c r="N32" s="185">
        <v>0</v>
      </c>
      <c r="O32" s="186">
        <v>0</v>
      </c>
      <c r="P32" s="186">
        <v>0</v>
      </c>
      <c r="Q32" s="187">
        <v>0</v>
      </c>
      <c r="R32" s="185">
        <v>0</v>
      </c>
      <c r="S32" s="186">
        <v>0.2</v>
      </c>
      <c r="T32" s="186">
        <v>0.2</v>
      </c>
      <c r="U32" s="187">
        <v>0</v>
      </c>
    </row>
    <row r="33" spans="1:21" s="15" customFormat="1" ht="20.100000000000001" customHeight="1">
      <c r="A33" s="85" t="s">
        <v>113</v>
      </c>
      <c r="B33" s="185">
        <v>0.09</v>
      </c>
      <c r="C33" s="186">
        <v>0.121</v>
      </c>
      <c r="D33" s="186">
        <v>0.69000000000000006</v>
      </c>
      <c r="E33" s="293">
        <v>0.751</v>
      </c>
      <c r="F33" s="185">
        <v>0.35000000000000003</v>
      </c>
      <c r="G33" s="186">
        <v>0.41000000000000003</v>
      </c>
      <c r="H33" s="186">
        <v>1.756</v>
      </c>
      <c r="I33" s="293">
        <v>2.0640000000000001</v>
      </c>
      <c r="J33" s="183">
        <v>0.33700000000000002</v>
      </c>
      <c r="K33" s="183">
        <v>1.6</v>
      </c>
      <c r="L33" s="183">
        <v>4</v>
      </c>
      <c r="M33" s="184">
        <v>4.0999999999999996</v>
      </c>
      <c r="N33" s="185">
        <v>0.2</v>
      </c>
      <c r="O33" s="186">
        <v>13.3</v>
      </c>
      <c r="P33" s="186">
        <v>15.1</v>
      </c>
      <c r="Q33" s="187">
        <v>16.899999999999999</v>
      </c>
      <c r="R33" s="185">
        <v>3.5</v>
      </c>
      <c r="S33" s="186">
        <v>5</v>
      </c>
      <c r="T33" s="186">
        <v>6.3</v>
      </c>
      <c r="U33" s="187">
        <v>9.5</v>
      </c>
    </row>
    <row r="34" spans="1:21" s="15" customFormat="1" ht="20.100000000000001" customHeight="1">
      <c r="A34" s="85" t="s">
        <v>64</v>
      </c>
      <c r="B34" s="185">
        <v>0</v>
      </c>
      <c r="C34" s="186">
        <v>0</v>
      </c>
      <c r="D34" s="186">
        <v>0</v>
      </c>
      <c r="E34" s="293">
        <v>0</v>
      </c>
      <c r="F34" s="185">
        <v>0</v>
      </c>
      <c r="G34" s="186">
        <v>0</v>
      </c>
      <c r="H34" s="186">
        <v>0</v>
      </c>
      <c r="I34" s="293">
        <v>0</v>
      </c>
      <c r="J34" s="183">
        <v>0</v>
      </c>
      <c r="K34" s="183">
        <v>-270</v>
      </c>
      <c r="L34" s="183">
        <v>-30</v>
      </c>
      <c r="M34" s="184">
        <v>0</v>
      </c>
      <c r="N34" s="185">
        <v>-42.7</v>
      </c>
      <c r="O34" s="186">
        <v>-42.7</v>
      </c>
      <c r="P34" s="186">
        <v>0</v>
      </c>
      <c r="Q34" s="187">
        <v>0</v>
      </c>
      <c r="R34" s="185">
        <v>-12.4</v>
      </c>
      <c r="S34" s="186">
        <v>0</v>
      </c>
      <c r="T34" s="186">
        <v>0</v>
      </c>
      <c r="U34" s="187">
        <v>0</v>
      </c>
    </row>
    <row r="35" spans="1:21" s="15" customFormat="1" ht="20.100000000000001" customHeight="1">
      <c r="A35" s="85" t="s">
        <v>114</v>
      </c>
      <c r="B35" s="185">
        <v>-1.1000000000000001</v>
      </c>
      <c r="C35" s="186">
        <v>-1.1000000000000001</v>
      </c>
      <c r="D35" s="186">
        <v>-1.1000000000000001</v>
      </c>
      <c r="E35" s="293">
        <v>-1.1000000000000001</v>
      </c>
      <c r="F35" s="185">
        <v>0</v>
      </c>
      <c r="G35" s="186">
        <v>0</v>
      </c>
      <c r="H35" s="186">
        <v>0</v>
      </c>
      <c r="I35" s="293">
        <v>0</v>
      </c>
      <c r="J35" s="183">
        <v>0</v>
      </c>
      <c r="K35" s="183">
        <v>-5.8</v>
      </c>
      <c r="L35" s="183">
        <v>-20.399999999999999</v>
      </c>
      <c r="M35" s="184">
        <v>-23.1</v>
      </c>
      <c r="N35" s="185">
        <v>-6</v>
      </c>
      <c r="O35" s="186">
        <v>-8.9</v>
      </c>
      <c r="P35" s="186">
        <v>-12.1</v>
      </c>
      <c r="Q35" s="187">
        <v>-16.100000000000001</v>
      </c>
      <c r="R35" s="185">
        <v>-6.8</v>
      </c>
      <c r="S35" s="186">
        <v>-9.5</v>
      </c>
      <c r="T35" s="186">
        <v>-10.5</v>
      </c>
      <c r="U35" s="187">
        <v>-11.6</v>
      </c>
    </row>
    <row r="36" spans="1:21" s="15" customFormat="1" ht="20.100000000000001" customHeight="1">
      <c r="A36" s="85" t="s">
        <v>115</v>
      </c>
      <c r="B36" s="185">
        <v>0</v>
      </c>
      <c r="C36" s="186">
        <v>1.1000000000000001</v>
      </c>
      <c r="D36" s="186">
        <v>1.1000000000000001</v>
      </c>
      <c r="E36" s="293">
        <v>1.1000000000000001</v>
      </c>
      <c r="F36" s="185">
        <v>0</v>
      </c>
      <c r="G36" s="186">
        <v>0</v>
      </c>
      <c r="H36" s="186">
        <v>0</v>
      </c>
      <c r="I36" s="293">
        <v>0</v>
      </c>
      <c r="J36" s="183">
        <v>0</v>
      </c>
      <c r="K36" s="183">
        <v>0</v>
      </c>
      <c r="L36" s="183">
        <v>0</v>
      </c>
      <c r="M36" s="184">
        <v>0</v>
      </c>
      <c r="N36" s="185">
        <v>0</v>
      </c>
      <c r="O36" s="186">
        <v>0</v>
      </c>
      <c r="P36" s="186">
        <v>0</v>
      </c>
      <c r="Q36" s="187">
        <v>0</v>
      </c>
      <c r="R36" s="185">
        <v>0</v>
      </c>
      <c r="S36" s="186">
        <v>0</v>
      </c>
      <c r="T36" s="186">
        <v>0</v>
      </c>
      <c r="U36" s="187">
        <v>0.1</v>
      </c>
    </row>
    <row r="37" spans="1:21" s="15" customFormat="1" ht="20.100000000000001" customHeight="1">
      <c r="A37" s="85" t="s">
        <v>116</v>
      </c>
      <c r="B37" s="185">
        <v>0</v>
      </c>
      <c r="C37" s="186">
        <v>0</v>
      </c>
      <c r="D37" s="186">
        <v>0</v>
      </c>
      <c r="E37" s="293">
        <v>0</v>
      </c>
      <c r="F37" s="185">
        <v>0</v>
      </c>
      <c r="G37" s="186">
        <v>0</v>
      </c>
      <c r="H37" s="186">
        <v>0</v>
      </c>
      <c r="I37" s="293">
        <v>0</v>
      </c>
      <c r="J37" s="183">
        <v>0</v>
      </c>
      <c r="K37" s="183">
        <v>5</v>
      </c>
      <c r="L37" s="183">
        <v>5.5</v>
      </c>
      <c r="M37" s="184">
        <v>6.6</v>
      </c>
      <c r="N37" s="185">
        <v>1.2</v>
      </c>
      <c r="O37" s="186">
        <v>-2.1</v>
      </c>
      <c r="P37" s="186">
        <v>3.2</v>
      </c>
      <c r="Q37" s="187">
        <v>3.9</v>
      </c>
      <c r="R37" s="185">
        <v>-5</v>
      </c>
      <c r="S37" s="186">
        <v>-4</v>
      </c>
      <c r="T37" s="186">
        <v>-3.5</v>
      </c>
      <c r="U37" s="187">
        <v>-1.6</v>
      </c>
    </row>
    <row r="38" spans="1:21" s="15" customFormat="1" ht="20.100000000000001" customHeight="1">
      <c r="A38" s="85" t="s">
        <v>117</v>
      </c>
      <c r="B38" s="185">
        <v>0</v>
      </c>
      <c r="C38" s="186">
        <v>1.258</v>
      </c>
      <c r="D38" s="186">
        <v>1.258</v>
      </c>
      <c r="E38" s="293">
        <v>2.706</v>
      </c>
      <c r="F38" s="185">
        <v>0</v>
      </c>
      <c r="G38" s="186">
        <v>2.5150000000000001</v>
      </c>
      <c r="H38" s="186">
        <v>2.5150000000000001</v>
      </c>
      <c r="I38" s="293">
        <v>2.5150000000000001</v>
      </c>
      <c r="J38" s="183">
        <v>2.5300000000000002</v>
      </c>
      <c r="K38" s="183">
        <v>2.5</v>
      </c>
      <c r="L38" s="183">
        <v>2.5</v>
      </c>
      <c r="M38" s="184">
        <v>2.5</v>
      </c>
      <c r="N38" s="185">
        <v>0</v>
      </c>
      <c r="O38" s="186">
        <v>0</v>
      </c>
      <c r="P38" s="186">
        <v>0</v>
      </c>
      <c r="Q38" s="187">
        <v>0</v>
      </c>
      <c r="R38" s="185">
        <v>0</v>
      </c>
      <c r="S38" s="186">
        <v>0</v>
      </c>
      <c r="T38" s="186">
        <v>0</v>
      </c>
      <c r="U38" s="187">
        <v>0</v>
      </c>
    </row>
    <row r="39" spans="1:21" s="15" customFormat="1" ht="20.100000000000001" customHeight="1" thickBot="1">
      <c r="A39" s="85" t="s">
        <v>162</v>
      </c>
      <c r="B39" s="185">
        <v>0</v>
      </c>
      <c r="C39" s="186">
        <v>0</v>
      </c>
      <c r="D39" s="186">
        <v>0</v>
      </c>
      <c r="E39" s="293">
        <v>0</v>
      </c>
      <c r="F39" s="185">
        <v>0</v>
      </c>
      <c r="G39" s="186">
        <v>0</v>
      </c>
      <c r="H39" s="186">
        <v>0</v>
      </c>
      <c r="I39" s="293">
        <v>0</v>
      </c>
      <c r="J39" s="183">
        <v>0</v>
      </c>
      <c r="K39" s="183">
        <v>0</v>
      </c>
      <c r="L39" s="183">
        <v>0</v>
      </c>
      <c r="M39" s="184">
        <v>0</v>
      </c>
      <c r="N39" s="185">
        <v>0</v>
      </c>
      <c r="O39" s="186">
        <v>0</v>
      </c>
      <c r="P39" s="186">
        <v>0</v>
      </c>
      <c r="Q39" s="187">
        <v>0</v>
      </c>
      <c r="R39" s="185">
        <v>0</v>
      </c>
      <c r="S39" s="186">
        <v>1</v>
      </c>
      <c r="T39" s="186">
        <v>1</v>
      </c>
      <c r="U39" s="187">
        <v>3.5</v>
      </c>
    </row>
    <row r="40" spans="1:21" s="15" customFormat="1" ht="24.95" customHeight="1" thickBot="1">
      <c r="A40" s="86" t="s">
        <v>123</v>
      </c>
      <c r="B40" s="190">
        <f t="shared" ref="B40:U40" si="5">SUM(B28:B39)</f>
        <v>-24.143000000000004</v>
      </c>
      <c r="C40" s="188">
        <f t="shared" si="5"/>
        <v>-83.230000000000018</v>
      </c>
      <c r="D40" s="188">
        <f t="shared" si="5"/>
        <v>-107.08400000000002</v>
      </c>
      <c r="E40" s="294">
        <f t="shared" si="5"/>
        <v>-133.43099999999998</v>
      </c>
      <c r="F40" s="190">
        <f t="shared" si="5"/>
        <v>-34.882999999999996</v>
      </c>
      <c r="G40" s="188">
        <f t="shared" si="5"/>
        <v>-58.354000000000006</v>
      </c>
      <c r="H40" s="188">
        <f t="shared" si="5"/>
        <v>-110.15100000000002</v>
      </c>
      <c r="I40" s="294">
        <f t="shared" si="5"/>
        <v>-133.83700000000002</v>
      </c>
      <c r="J40" s="190">
        <f t="shared" si="5"/>
        <v>-36.552999999999997</v>
      </c>
      <c r="K40" s="188">
        <f t="shared" si="5"/>
        <v>1394.1000000000001</v>
      </c>
      <c r="L40" s="188">
        <f t="shared" si="5"/>
        <v>1042.3</v>
      </c>
      <c r="M40" s="189">
        <f t="shared" si="5"/>
        <v>972.80000000000007</v>
      </c>
      <c r="N40" s="190">
        <f t="shared" si="5"/>
        <v>-208.2</v>
      </c>
      <c r="O40" s="188">
        <f t="shared" si="5"/>
        <v>-347.59999999999997</v>
      </c>
      <c r="P40" s="188">
        <f t="shared" si="5"/>
        <v>-576.29999999999995</v>
      </c>
      <c r="Q40" s="191">
        <f t="shared" si="5"/>
        <v>-726.60000000000014</v>
      </c>
      <c r="R40" s="190">
        <f t="shared" si="5"/>
        <v>-24.899999999999988</v>
      </c>
      <c r="S40" s="188">
        <f t="shared" si="5"/>
        <v>-541.09999999999991</v>
      </c>
      <c r="T40" s="188">
        <f t="shared" si="5"/>
        <v>-815.19999999999993</v>
      </c>
      <c r="U40" s="191">
        <f t="shared" si="5"/>
        <v>-1003.4</v>
      </c>
    </row>
    <row r="41" spans="1:21" s="15" customFormat="1" ht="20.100000000000001" customHeight="1">
      <c r="A41" s="85" t="s">
        <v>118</v>
      </c>
      <c r="B41" s="185">
        <v>-26.754999999999999</v>
      </c>
      <c r="C41" s="186">
        <v>-155.76300000000001</v>
      </c>
      <c r="D41" s="186">
        <v>-397.57499999999999</v>
      </c>
      <c r="E41" s="293">
        <v>-453.32400000000001</v>
      </c>
      <c r="F41" s="185">
        <v>-49.813000000000002</v>
      </c>
      <c r="G41" s="186">
        <v>-192.59</v>
      </c>
      <c r="H41" s="186">
        <v>-366.16200000000003</v>
      </c>
      <c r="I41" s="293">
        <v>-431.11700000000002</v>
      </c>
      <c r="J41" s="183">
        <v>-37.393999999999998</v>
      </c>
      <c r="K41" s="183">
        <v>-547.1</v>
      </c>
      <c r="L41" s="183">
        <v>-747.1</v>
      </c>
      <c r="M41" s="184">
        <v>-1087.0999999999999</v>
      </c>
      <c r="N41" s="185">
        <v>-157</v>
      </c>
      <c r="O41" s="186">
        <v>-954.2</v>
      </c>
      <c r="P41" s="186">
        <v>-9222.2000000000007</v>
      </c>
      <c r="Q41" s="187">
        <v>-9222.2000000000007</v>
      </c>
      <c r="R41" s="185">
        <v>-916.1</v>
      </c>
      <c r="S41" s="186">
        <v>-1498.9</v>
      </c>
      <c r="T41" s="186">
        <v>-1706.9</v>
      </c>
      <c r="U41" s="187">
        <v>-1940.9</v>
      </c>
    </row>
    <row r="42" spans="1:21" s="15" customFormat="1" ht="20.100000000000001" customHeight="1">
      <c r="A42" s="85" t="s">
        <v>119</v>
      </c>
      <c r="B42" s="185">
        <v>0</v>
      </c>
      <c r="C42" s="186">
        <v>0</v>
      </c>
      <c r="D42" s="186">
        <v>0</v>
      </c>
      <c r="E42" s="293">
        <v>0</v>
      </c>
      <c r="F42" s="185">
        <v>0</v>
      </c>
      <c r="G42" s="186">
        <v>0</v>
      </c>
      <c r="H42" s="186">
        <v>0</v>
      </c>
      <c r="I42" s="293">
        <v>0</v>
      </c>
      <c r="J42" s="183">
        <v>0</v>
      </c>
      <c r="K42" s="183">
        <v>2800</v>
      </c>
      <c r="L42" s="183">
        <v>2800</v>
      </c>
      <c r="M42" s="184">
        <v>2800</v>
      </c>
      <c r="N42" s="185">
        <v>50</v>
      </c>
      <c r="O42" s="186">
        <v>120</v>
      </c>
      <c r="P42" s="186">
        <v>6820</v>
      </c>
      <c r="Q42" s="187">
        <v>6820</v>
      </c>
      <c r="R42" s="185">
        <v>5500</v>
      </c>
      <c r="S42" s="186">
        <v>5500</v>
      </c>
      <c r="T42" s="186">
        <v>5500</v>
      </c>
      <c r="U42" s="187">
        <v>5500</v>
      </c>
    </row>
    <row r="43" spans="1:21" s="15" customFormat="1" ht="20.100000000000001" customHeight="1">
      <c r="A43" s="85" t="s">
        <v>166</v>
      </c>
      <c r="B43" s="185">
        <v>0</v>
      </c>
      <c r="C43" s="186">
        <v>0</v>
      </c>
      <c r="D43" s="186">
        <v>0</v>
      </c>
      <c r="E43" s="293">
        <v>0</v>
      </c>
      <c r="F43" s="185">
        <v>0</v>
      </c>
      <c r="G43" s="186">
        <v>0</v>
      </c>
      <c r="H43" s="186">
        <v>0</v>
      </c>
      <c r="I43" s="293">
        <v>0</v>
      </c>
      <c r="J43" s="183">
        <v>0</v>
      </c>
      <c r="K43" s="183">
        <v>-2275.9</v>
      </c>
      <c r="L43" s="183">
        <v>-2275.9</v>
      </c>
      <c r="M43" s="184">
        <v>-2275.9</v>
      </c>
      <c r="N43" s="185">
        <v>0</v>
      </c>
      <c r="O43" s="186">
        <v>0</v>
      </c>
      <c r="P43" s="186">
        <v>1000</v>
      </c>
      <c r="Q43" s="187">
        <v>1000</v>
      </c>
      <c r="R43" s="185">
        <v>-4483.8</v>
      </c>
      <c r="S43" s="186">
        <v>-4483.8</v>
      </c>
      <c r="T43" s="186">
        <v>-4483.8</v>
      </c>
      <c r="U43" s="187">
        <v>-4484</v>
      </c>
    </row>
    <row r="44" spans="1:21" s="15" customFormat="1" ht="20.100000000000001" customHeight="1">
      <c r="A44" s="85" t="s">
        <v>140</v>
      </c>
      <c r="B44" s="185">
        <v>0</v>
      </c>
      <c r="C44" s="186">
        <v>0</v>
      </c>
      <c r="D44" s="186">
        <v>0</v>
      </c>
      <c r="E44" s="293">
        <v>0</v>
      </c>
      <c r="F44" s="185">
        <v>0</v>
      </c>
      <c r="G44" s="186">
        <v>0</v>
      </c>
      <c r="H44" s="186">
        <v>0</v>
      </c>
      <c r="I44" s="293">
        <v>0</v>
      </c>
      <c r="J44" s="183">
        <v>0</v>
      </c>
      <c r="K44" s="183">
        <v>0</v>
      </c>
      <c r="L44" s="183">
        <v>0</v>
      </c>
      <c r="M44" s="184">
        <v>0</v>
      </c>
      <c r="N44" s="185">
        <v>0</v>
      </c>
      <c r="O44" s="186">
        <v>0</v>
      </c>
      <c r="P44" s="186">
        <v>0</v>
      </c>
      <c r="Q44" s="187">
        <v>0</v>
      </c>
      <c r="R44" s="185">
        <v>-262.10000000000002</v>
      </c>
      <c r="S44" s="186">
        <v>-262.10000000000002</v>
      </c>
      <c r="T44" s="186">
        <v>-262.10000000000002</v>
      </c>
      <c r="U44" s="187">
        <v>-262.10000000000002</v>
      </c>
    </row>
    <row r="45" spans="1:21" s="15" customFormat="1" ht="20.100000000000001" customHeight="1">
      <c r="A45" s="85" t="s">
        <v>141</v>
      </c>
      <c r="B45" s="185">
        <v>0</v>
      </c>
      <c r="C45" s="186">
        <v>0</v>
      </c>
      <c r="D45" s="186">
        <v>0</v>
      </c>
      <c r="E45" s="293">
        <v>0</v>
      </c>
      <c r="F45" s="185">
        <v>0</v>
      </c>
      <c r="G45" s="186">
        <v>0</v>
      </c>
      <c r="H45" s="186">
        <v>0</v>
      </c>
      <c r="I45" s="293">
        <v>0</v>
      </c>
      <c r="J45" s="183">
        <v>0</v>
      </c>
      <c r="K45" s="183">
        <v>0</v>
      </c>
      <c r="L45" s="183">
        <v>0</v>
      </c>
      <c r="M45" s="184">
        <v>0</v>
      </c>
      <c r="N45" s="185">
        <v>0</v>
      </c>
      <c r="O45" s="186">
        <v>0</v>
      </c>
      <c r="P45" s="186">
        <v>0</v>
      </c>
      <c r="Q45" s="187">
        <v>0</v>
      </c>
      <c r="R45" s="185">
        <v>175.4</v>
      </c>
      <c r="S45" s="186">
        <v>175.4</v>
      </c>
      <c r="T45" s="186">
        <v>175.4</v>
      </c>
      <c r="U45" s="187">
        <v>175.4</v>
      </c>
    </row>
    <row r="46" spans="1:21" s="15" customFormat="1" ht="20.100000000000001" customHeight="1">
      <c r="A46" s="130" t="s">
        <v>163</v>
      </c>
      <c r="B46" s="185">
        <v>-26.132999999999999</v>
      </c>
      <c r="C46" s="186">
        <f>(-103258-821)*0.001</f>
        <v>-104.07900000000001</v>
      </c>
      <c r="D46" s="186">
        <f>(-125824-2250)*0.001</f>
        <v>-128.07400000000001</v>
      </c>
      <c r="E46" s="293">
        <f>(-195934-3683)*0.001</f>
        <v>-199.61699999999999</v>
      </c>
      <c r="F46" s="185">
        <f>(-15811-1035)*0.001</f>
        <v>-16.846</v>
      </c>
      <c r="G46" s="186">
        <f>(-84439-1241)*0.001</f>
        <v>-85.68</v>
      </c>
      <c r="H46" s="186">
        <f>(-96215-1689)*0.001</f>
        <v>-97.903999999999996</v>
      </c>
      <c r="I46" s="293">
        <v>-165.017</v>
      </c>
      <c r="J46" s="183">
        <v>-9.0950000000000006</v>
      </c>
      <c r="K46" s="183">
        <v>-348.3</v>
      </c>
      <c r="L46" s="183">
        <v>-733.5</v>
      </c>
      <c r="M46" s="184">
        <v>-872.2</v>
      </c>
      <c r="N46" s="185">
        <v>-357.9</v>
      </c>
      <c r="O46" s="186">
        <v>-472.3</v>
      </c>
      <c r="P46" s="186">
        <v>-804.1</v>
      </c>
      <c r="Q46" s="187">
        <v>-978.9</v>
      </c>
      <c r="R46" s="185">
        <v>-383.2</v>
      </c>
      <c r="S46" s="186">
        <v>-507.9</v>
      </c>
      <c r="T46" s="186">
        <v>-631.70000000000005</v>
      </c>
      <c r="U46" s="187">
        <v>-729.6</v>
      </c>
    </row>
    <row r="47" spans="1:21" s="15" customFormat="1" ht="20.100000000000001" customHeight="1">
      <c r="A47" s="85" t="s">
        <v>144</v>
      </c>
      <c r="B47" s="185">
        <v>0</v>
      </c>
      <c r="C47" s="186">
        <v>0</v>
      </c>
      <c r="D47" s="186">
        <v>0</v>
      </c>
      <c r="E47" s="293">
        <v>0</v>
      </c>
      <c r="F47" s="185">
        <v>0</v>
      </c>
      <c r="G47" s="186">
        <v>0</v>
      </c>
      <c r="H47" s="186">
        <v>0</v>
      </c>
      <c r="I47" s="293">
        <v>0</v>
      </c>
      <c r="J47" s="183">
        <v>0</v>
      </c>
      <c r="K47" s="183">
        <v>0</v>
      </c>
      <c r="L47" s="183">
        <v>0</v>
      </c>
      <c r="M47" s="184">
        <v>0</v>
      </c>
      <c r="N47" s="185">
        <v>0</v>
      </c>
      <c r="O47" s="186">
        <v>0</v>
      </c>
      <c r="P47" s="186">
        <v>0</v>
      </c>
      <c r="Q47" s="187">
        <v>0</v>
      </c>
      <c r="R47" s="185">
        <v>0</v>
      </c>
      <c r="S47" s="186">
        <v>-323.60000000000002</v>
      </c>
      <c r="T47" s="186">
        <v>-323.60000000000002</v>
      </c>
      <c r="U47" s="187">
        <v>-323.60000000000002</v>
      </c>
    </row>
    <row r="48" spans="1:21" s="15" customFormat="1" ht="20.100000000000001" customHeight="1">
      <c r="A48" s="85" t="s">
        <v>120</v>
      </c>
      <c r="B48" s="185">
        <v>0</v>
      </c>
      <c r="C48" s="186">
        <v>0</v>
      </c>
      <c r="D48" s="186">
        <v>0</v>
      </c>
      <c r="E48" s="293">
        <v>0</v>
      </c>
      <c r="F48" s="185">
        <v>0</v>
      </c>
      <c r="G48" s="186">
        <v>0</v>
      </c>
      <c r="H48" s="186">
        <v>0</v>
      </c>
      <c r="I48" s="293">
        <v>0</v>
      </c>
      <c r="J48" s="183">
        <v>0</v>
      </c>
      <c r="K48" s="183">
        <v>-102.9</v>
      </c>
      <c r="L48" s="183">
        <v>-102.9</v>
      </c>
      <c r="M48" s="184">
        <v>-102.9</v>
      </c>
      <c r="N48" s="185">
        <v>0</v>
      </c>
      <c r="O48" s="186">
        <v>0</v>
      </c>
      <c r="P48" s="186">
        <v>0</v>
      </c>
      <c r="Q48" s="187">
        <v>0</v>
      </c>
      <c r="R48" s="185">
        <v>0</v>
      </c>
      <c r="S48" s="186">
        <v>0</v>
      </c>
      <c r="T48" s="186">
        <v>0</v>
      </c>
      <c r="U48" s="187">
        <v>0</v>
      </c>
    </row>
    <row r="49" spans="1:21" s="15" customFormat="1" ht="20.100000000000001" customHeight="1">
      <c r="A49" s="85" t="s">
        <v>172</v>
      </c>
      <c r="B49" s="185">
        <v>-8.4000000000000005E-2</v>
      </c>
      <c r="C49" s="186">
        <v>-0.23899999999999999</v>
      </c>
      <c r="D49" s="186">
        <v>-0.315</v>
      </c>
      <c r="E49" s="293">
        <v>-0.40600000000000003</v>
      </c>
      <c r="F49" s="185">
        <v>-7.8E-2</v>
      </c>
      <c r="G49" s="186">
        <v>-0.16800000000000001</v>
      </c>
      <c r="H49" s="186">
        <v>-0.25600000000000001</v>
      </c>
      <c r="I49" s="293">
        <v>-0.33</v>
      </c>
      <c r="J49" s="183">
        <v>-6.2E-2</v>
      </c>
      <c r="K49" s="183">
        <v>-0.3</v>
      </c>
      <c r="L49" s="183">
        <v>-0.7</v>
      </c>
      <c r="M49" s="184">
        <v>-0.9</v>
      </c>
      <c r="N49" s="185">
        <v>-2.5</v>
      </c>
      <c r="O49" s="186">
        <v>-3.5</v>
      </c>
      <c r="P49" s="186">
        <v>-4.5</v>
      </c>
      <c r="Q49" s="187">
        <v>-5.6</v>
      </c>
      <c r="R49" s="185">
        <v>-2.1</v>
      </c>
      <c r="S49" s="186">
        <v>-2.7</v>
      </c>
      <c r="T49" s="186">
        <v>-4.4000000000000004</v>
      </c>
      <c r="U49" s="187">
        <v>-6</v>
      </c>
    </row>
    <row r="50" spans="1:21" s="15" customFormat="1" ht="20.100000000000001" customHeight="1" thickBot="1">
      <c r="A50" s="85" t="s">
        <v>121</v>
      </c>
      <c r="B50" s="295">
        <v>0</v>
      </c>
      <c r="C50" s="296">
        <v>0</v>
      </c>
      <c r="D50" s="296">
        <v>0</v>
      </c>
      <c r="E50" s="186">
        <v>0</v>
      </c>
      <c r="F50" s="185">
        <v>0</v>
      </c>
      <c r="G50" s="186">
        <v>0</v>
      </c>
      <c r="H50" s="186">
        <v>0</v>
      </c>
      <c r="I50" s="293">
        <v>0</v>
      </c>
      <c r="J50" s="183">
        <v>0</v>
      </c>
      <c r="K50" s="183">
        <v>-3.8</v>
      </c>
      <c r="L50" s="183">
        <v>-3.9</v>
      </c>
      <c r="M50" s="184">
        <v>-3.9</v>
      </c>
      <c r="N50" s="185">
        <v>0</v>
      </c>
      <c r="O50" s="186">
        <v>0</v>
      </c>
      <c r="P50" s="186">
        <v>0</v>
      </c>
      <c r="Q50" s="187">
        <v>0</v>
      </c>
      <c r="R50" s="185">
        <v>0</v>
      </c>
      <c r="S50" s="186">
        <v>0</v>
      </c>
      <c r="T50" s="186">
        <v>0</v>
      </c>
      <c r="U50" s="187">
        <v>0</v>
      </c>
    </row>
    <row r="51" spans="1:21" s="15" customFormat="1" ht="20.100000000000001" customHeight="1" thickBot="1">
      <c r="A51" s="86" t="s">
        <v>122</v>
      </c>
      <c r="B51" s="190">
        <f t="shared" ref="B51:T51" si="6">SUM(B41:B50)</f>
        <v>-52.972000000000001</v>
      </c>
      <c r="C51" s="188">
        <f t="shared" si="6"/>
        <v>-260.08099999999996</v>
      </c>
      <c r="D51" s="188">
        <f t="shared" si="6"/>
        <v>-525.96400000000006</v>
      </c>
      <c r="E51" s="294">
        <f t="shared" si="6"/>
        <v>-653.34699999999998</v>
      </c>
      <c r="F51" s="190">
        <f t="shared" si="6"/>
        <v>-66.737000000000009</v>
      </c>
      <c r="G51" s="188">
        <f t="shared" si="6"/>
        <v>-278.43799999999999</v>
      </c>
      <c r="H51" s="188">
        <f t="shared" si="6"/>
        <v>-464.322</v>
      </c>
      <c r="I51" s="294">
        <f t="shared" si="6"/>
        <v>-596.46400000000006</v>
      </c>
      <c r="J51" s="190">
        <f t="shared" si="6"/>
        <v>-46.550999999999995</v>
      </c>
      <c r="K51" s="188">
        <f t="shared" si="6"/>
        <v>-478.30000000000007</v>
      </c>
      <c r="L51" s="188">
        <f t="shared" si="6"/>
        <v>-1064.0000000000002</v>
      </c>
      <c r="M51" s="189">
        <f t="shared" si="6"/>
        <v>-1542.9000000000003</v>
      </c>
      <c r="N51" s="190">
        <f t="shared" si="6"/>
        <v>-467.4</v>
      </c>
      <c r="O51" s="188">
        <f t="shared" si="6"/>
        <v>-1310</v>
      </c>
      <c r="P51" s="188">
        <f t="shared" si="6"/>
        <v>-2210.8000000000006</v>
      </c>
      <c r="Q51" s="191">
        <f t="shared" si="6"/>
        <v>-2386.7000000000007</v>
      </c>
      <c r="R51" s="190">
        <f t="shared" si="6"/>
        <v>-371.90000000000055</v>
      </c>
      <c r="S51" s="188">
        <f t="shared" si="6"/>
        <v>-1403.6000000000001</v>
      </c>
      <c r="T51" s="188">
        <f t="shared" si="6"/>
        <v>-1737.1000000000004</v>
      </c>
      <c r="U51" s="191">
        <f t="shared" ref="U51" si="7">SUM(U41:U50)</f>
        <v>-2070.8000000000002</v>
      </c>
    </row>
    <row r="52" spans="1:21" s="15" customFormat="1" ht="20.100000000000001" customHeight="1" thickBot="1">
      <c r="A52" s="86" t="s">
        <v>126</v>
      </c>
      <c r="B52" s="190">
        <f>B27+B40+B51</f>
        <v>147.59399999999997</v>
      </c>
      <c r="C52" s="188">
        <f t="shared" ref="C52:U52" si="8">C51+C40+C27</f>
        <v>33.256000000000029</v>
      </c>
      <c r="D52" s="188">
        <f t="shared" si="8"/>
        <v>-51.083999999999946</v>
      </c>
      <c r="E52" s="294">
        <f t="shared" si="8"/>
        <v>-5.4109999999999445</v>
      </c>
      <c r="F52" s="190">
        <f t="shared" si="8"/>
        <v>53.822999999999979</v>
      </c>
      <c r="G52" s="188">
        <f t="shared" si="8"/>
        <v>-5.0790000000000077</v>
      </c>
      <c r="H52" s="188">
        <f t="shared" si="8"/>
        <v>-55.118000000000166</v>
      </c>
      <c r="I52" s="294">
        <f t="shared" si="8"/>
        <v>72.357999999999834</v>
      </c>
      <c r="J52" s="188">
        <f t="shared" si="8"/>
        <v>85.956000000000017</v>
      </c>
      <c r="K52" s="188">
        <f t="shared" si="8"/>
        <v>1565.4</v>
      </c>
      <c r="L52" s="188">
        <f t="shared" si="8"/>
        <v>1300.0999999999999</v>
      </c>
      <c r="M52" s="189">
        <f t="shared" si="8"/>
        <v>1403.7999999999984</v>
      </c>
      <c r="N52" s="190">
        <f t="shared" si="8"/>
        <v>-257.89999999999981</v>
      </c>
      <c r="O52" s="188">
        <f t="shared" si="8"/>
        <v>-353.30000000000041</v>
      </c>
      <c r="P52" s="188">
        <f t="shared" si="8"/>
        <v>-677.30000000000109</v>
      </c>
      <c r="Q52" s="191">
        <f t="shared" si="8"/>
        <v>-225.60000000000127</v>
      </c>
      <c r="R52" s="190">
        <f t="shared" si="8"/>
        <v>49.999999999999602</v>
      </c>
      <c r="S52" s="188">
        <f t="shared" si="8"/>
        <v>-568.69999999999959</v>
      </c>
      <c r="T52" s="188">
        <f t="shared" si="8"/>
        <v>-411.39999999999918</v>
      </c>
      <c r="U52" s="191">
        <f t="shared" si="8"/>
        <v>-189.49999999999955</v>
      </c>
    </row>
    <row r="53" spans="1:21" s="17" customFormat="1" ht="20.100000000000001" customHeight="1">
      <c r="A53" s="87" t="s">
        <v>127</v>
      </c>
      <c r="B53" s="194">
        <v>277.53399999999999</v>
      </c>
      <c r="C53" s="192">
        <v>277.53399999999999</v>
      </c>
      <c r="D53" s="192">
        <v>277.53399999999999</v>
      </c>
      <c r="E53" s="297">
        <v>277.53399999999999</v>
      </c>
      <c r="F53" s="194">
        <v>270.35399999999998</v>
      </c>
      <c r="G53" s="192">
        <v>270.35399999999998</v>
      </c>
      <c r="H53" s="192">
        <v>270.35399999999998</v>
      </c>
      <c r="I53" s="297">
        <v>270.35399999999998</v>
      </c>
      <c r="J53" s="192">
        <v>342.25100000000003</v>
      </c>
      <c r="K53" s="192">
        <v>342.2</v>
      </c>
      <c r="L53" s="192">
        <v>342.2</v>
      </c>
      <c r="M53" s="193">
        <v>342.2</v>
      </c>
      <c r="N53" s="194">
        <v>1747.9</v>
      </c>
      <c r="O53" s="192">
        <v>1747.9</v>
      </c>
      <c r="P53" s="192">
        <v>1747.9</v>
      </c>
      <c r="Q53" s="195">
        <v>1747.9</v>
      </c>
      <c r="R53" s="194">
        <f>Q55</f>
        <v>1523.6999999999989</v>
      </c>
      <c r="S53" s="192">
        <v>1523.7</v>
      </c>
      <c r="T53" s="192">
        <f>S53</f>
        <v>1523.7</v>
      </c>
      <c r="U53" s="195">
        <v>1523.6999999999989</v>
      </c>
    </row>
    <row r="54" spans="1:21" s="17" customFormat="1" ht="20.100000000000001" customHeight="1" thickBot="1">
      <c r="A54" s="85" t="s">
        <v>128</v>
      </c>
      <c r="B54" s="185">
        <v>-2.5009999999999999</v>
      </c>
      <c r="C54" s="186">
        <v>-1.2710000000000001</v>
      </c>
      <c r="D54" s="186">
        <v>-1.339</v>
      </c>
      <c r="E54" s="293">
        <v>-1.7690000000000001</v>
      </c>
      <c r="F54" s="185">
        <v>0.161</v>
      </c>
      <c r="G54" s="186">
        <v>0.52800000000000002</v>
      </c>
      <c r="H54" s="186">
        <v>0.16</v>
      </c>
      <c r="I54" s="293">
        <v>-0.46100000000000002</v>
      </c>
      <c r="J54" s="183">
        <v>-1.7000000000000001E-2</v>
      </c>
      <c r="K54" s="183">
        <v>-0.7</v>
      </c>
      <c r="L54" s="183">
        <v>0.9</v>
      </c>
      <c r="M54" s="196">
        <v>1.9</v>
      </c>
      <c r="N54" s="185">
        <v>1.6</v>
      </c>
      <c r="O54" s="186">
        <v>2</v>
      </c>
      <c r="P54" s="186">
        <v>1.4</v>
      </c>
      <c r="Q54" s="187">
        <v>1.4</v>
      </c>
      <c r="R54" s="185">
        <v>-3.7</v>
      </c>
      <c r="S54" s="186">
        <v>0.4</v>
      </c>
      <c r="T54" s="186">
        <v>-2.1</v>
      </c>
      <c r="U54" s="187">
        <v>2.5</v>
      </c>
    </row>
    <row r="55" spans="1:21" s="15" customFormat="1" ht="20.100000000000001" customHeight="1" thickBot="1">
      <c r="A55" s="86" t="s">
        <v>129</v>
      </c>
      <c r="B55" s="190">
        <f>B52+B53+B54</f>
        <v>422.62699999999995</v>
      </c>
      <c r="C55" s="188">
        <f t="shared" ref="C55:Q55" si="9">C53+C52+C54</f>
        <v>309.51900000000001</v>
      </c>
      <c r="D55" s="188">
        <f t="shared" si="9"/>
        <v>225.11100000000005</v>
      </c>
      <c r="E55" s="294">
        <f t="shared" si="9"/>
        <v>270.35400000000004</v>
      </c>
      <c r="F55" s="190">
        <f t="shared" si="9"/>
        <v>324.33799999999997</v>
      </c>
      <c r="G55" s="188">
        <f t="shared" si="9"/>
        <v>265.803</v>
      </c>
      <c r="H55" s="188">
        <f t="shared" si="9"/>
        <v>215.39599999999982</v>
      </c>
      <c r="I55" s="294">
        <f t="shared" si="9"/>
        <v>342.25099999999981</v>
      </c>
      <c r="J55" s="188">
        <f t="shared" si="9"/>
        <v>428.19000000000005</v>
      </c>
      <c r="K55" s="188">
        <f t="shared" si="9"/>
        <v>1906.9</v>
      </c>
      <c r="L55" s="188">
        <f t="shared" si="9"/>
        <v>1643.2</v>
      </c>
      <c r="M55" s="189">
        <f t="shared" si="9"/>
        <v>1747.8999999999985</v>
      </c>
      <c r="N55" s="190">
        <f t="shared" si="9"/>
        <v>1491.6000000000001</v>
      </c>
      <c r="O55" s="188">
        <f t="shared" si="9"/>
        <v>1396.5999999999997</v>
      </c>
      <c r="P55" s="188">
        <f t="shared" si="9"/>
        <v>1071.9999999999991</v>
      </c>
      <c r="Q55" s="191">
        <f t="shared" si="9"/>
        <v>1523.6999999999989</v>
      </c>
      <c r="R55" s="190">
        <f t="shared" ref="R55:U55" si="10">R53+R52+R54</f>
        <v>1569.9999999999984</v>
      </c>
      <c r="S55" s="188">
        <f t="shared" si="10"/>
        <v>955.40000000000043</v>
      </c>
      <c r="T55" s="188">
        <f t="shared" si="10"/>
        <v>1110.200000000001</v>
      </c>
      <c r="U55" s="191">
        <f t="shared" si="10"/>
        <v>1336.6999999999994</v>
      </c>
    </row>
    <row r="56" spans="1:21" s="15" customFormat="1" ht="15.75" customHeight="1">
      <c r="M56" s="77"/>
    </row>
    <row r="57" spans="1:21" s="15" customFormat="1">
      <c r="A57" s="15" t="s">
        <v>134</v>
      </c>
      <c r="M57" s="77"/>
    </row>
    <row r="58" spans="1:21" s="15" customFormat="1">
      <c r="A58" s="15" t="s">
        <v>164</v>
      </c>
      <c r="M58" s="77"/>
    </row>
    <row r="59" spans="1:21" s="15" customFormat="1">
      <c r="M59" s="77"/>
    </row>
    <row r="60" spans="1:21" s="15" customFormat="1">
      <c r="M60" s="77"/>
    </row>
    <row r="61" spans="1:21" s="15" customFormat="1">
      <c r="M61" s="77"/>
    </row>
    <row r="62" spans="1:21" s="15" customFormat="1">
      <c r="M62" s="77"/>
    </row>
    <row r="63" spans="1:21" s="15" customFormat="1">
      <c r="M63" s="77"/>
    </row>
    <row r="64" spans="1:21" s="15" customFormat="1">
      <c r="M64" s="77"/>
    </row>
    <row r="65" spans="13:13" s="15" customFormat="1">
      <c r="M65" s="77"/>
    </row>
    <row r="66" spans="13:13" s="15" customFormat="1">
      <c r="M66" s="77"/>
    </row>
    <row r="67" spans="13:13" s="15" customFormat="1">
      <c r="M67" s="77"/>
    </row>
    <row r="68" spans="13:13" s="15" customFormat="1">
      <c r="M68" s="77"/>
    </row>
    <row r="69" spans="13:13" s="15" customFormat="1">
      <c r="M69" s="77"/>
    </row>
    <row r="70" spans="13:13" s="15" customFormat="1">
      <c r="M70" s="77"/>
    </row>
    <row r="71" spans="13:13" s="15" customFormat="1">
      <c r="M71" s="77"/>
    </row>
    <row r="72" spans="13:13" s="15" customFormat="1">
      <c r="M72" s="77"/>
    </row>
    <row r="73" spans="13:13" s="15" customFormat="1">
      <c r="M73" s="77"/>
    </row>
    <row r="74" spans="13:13" s="15" customFormat="1">
      <c r="M74" s="77"/>
    </row>
    <row r="75" spans="13:13" s="15" customFormat="1">
      <c r="M75" s="77"/>
    </row>
    <row r="76" spans="13:13" s="15" customFormat="1">
      <c r="M76" s="77"/>
    </row>
    <row r="77" spans="13:13" s="15" customFormat="1">
      <c r="M77" s="77"/>
    </row>
    <row r="78" spans="13:13" s="15" customFormat="1">
      <c r="M78" s="77"/>
    </row>
    <row r="79" spans="13:13" s="15" customFormat="1">
      <c r="M79" s="77"/>
    </row>
    <row r="80" spans="13:13" s="15" customFormat="1">
      <c r="M80" s="77"/>
    </row>
    <row r="81" spans="13:13" s="15" customFormat="1">
      <c r="M81" s="77"/>
    </row>
    <row r="82" spans="13:13" s="15" customFormat="1">
      <c r="M82" s="77"/>
    </row>
    <row r="83" spans="13:13" s="15" customFormat="1">
      <c r="M83" s="77"/>
    </row>
    <row r="84" spans="13:13" s="15" customFormat="1">
      <c r="M84" s="77"/>
    </row>
    <row r="85" spans="13:13" s="15" customFormat="1">
      <c r="M85" s="77"/>
    </row>
    <row r="86" spans="13:13" s="15" customFormat="1">
      <c r="M86" s="77"/>
    </row>
    <row r="87" spans="13:13" s="15" customFormat="1">
      <c r="M87" s="77"/>
    </row>
    <row r="88" spans="13:13" s="15" customFormat="1">
      <c r="M88" s="77"/>
    </row>
    <row r="89" spans="13:13" s="15" customFormat="1">
      <c r="M89" s="77"/>
    </row>
    <row r="90" spans="13:13" s="15" customFormat="1">
      <c r="M90" s="77"/>
    </row>
    <row r="91" spans="13:13" s="15" customFormat="1">
      <c r="M91" s="77"/>
    </row>
    <row r="92" spans="13:13" s="15" customFormat="1">
      <c r="M92" s="77"/>
    </row>
    <row r="93" spans="13:13" s="15" customFormat="1">
      <c r="M93" s="77"/>
    </row>
    <row r="94" spans="13:13" s="15" customFormat="1">
      <c r="M94" s="77"/>
    </row>
    <row r="95" spans="13:13" s="15" customFormat="1"/>
    <row r="96" spans="13:13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</sheetData>
  <mergeCells count="5">
    <mergeCell ref="B2:E2"/>
    <mergeCell ref="F2:I2"/>
    <mergeCell ref="J2:M2"/>
    <mergeCell ref="N2:Q2"/>
    <mergeCell ref="R2:U2"/>
  </mergeCells>
  <pageMargins left="0.70866141732283472" right="0.70866141732283472" top="0.74803149606299213" bottom="0.74803149606299213" header="0.31496062992125984" footer="0.31496062992125984"/>
  <pageSetup paperSize="9" scale="3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N18"/>
  <sheetViews>
    <sheetView showGridLines="0" tabSelected="1" zoomScaleNormal="100" zoomScaleSheetLayoutView="70" workbookViewId="0">
      <pane xSplit="1" topLeftCell="B1" activePane="topRight" state="frozen"/>
      <selection pane="topRight" activeCell="J11" sqref="J11"/>
    </sheetView>
  </sheetViews>
  <sheetFormatPr defaultRowHeight="12" outlineLevelCol="1"/>
  <cols>
    <col min="1" max="1" width="35.125" style="350" customWidth="1"/>
    <col min="2" max="5" width="8.625" style="350" customWidth="1"/>
    <col min="6" max="9" width="8.625" style="350" hidden="1" customWidth="1" outlineLevel="1"/>
    <col min="10" max="10" width="8.625" style="350" customWidth="1" collapsed="1"/>
    <col min="11" max="14" width="8.625" style="350" hidden="1" customWidth="1" outlineLevel="1"/>
    <col min="15" max="15" width="8.625" style="350" customWidth="1" collapsed="1"/>
    <col min="16" max="19" width="8.625" style="350" hidden="1" customWidth="1" outlineLevel="1"/>
    <col min="20" max="20" width="8.625" style="350" customWidth="1" collapsed="1"/>
    <col min="21" max="40" width="8.625" style="350" customWidth="1"/>
    <col min="41" max="16384" width="9" style="350"/>
  </cols>
  <sheetData>
    <row r="1" spans="1:40" ht="28.5" customHeight="1" thickBot="1">
      <c r="A1" s="355" t="s">
        <v>6</v>
      </c>
    </row>
    <row r="2" spans="1:40" s="363" customFormat="1" ht="24" customHeight="1" thickBot="1">
      <c r="A2" s="356" t="s">
        <v>215</v>
      </c>
      <c r="B2" s="357">
        <v>2006</v>
      </c>
      <c r="C2" s="358">
        <v>2007</v>
      </c>
      <c r="D2" s="359">
        <v>2008</v>
      </c>
      <c r="E2" s="359">
        <v>2009</v>
      </c>
      <c r="F2" s="360" t="s">
        <v>175</v>
      </c>
      <c r="G2" s="361" t="s">
        <v>176</v>
      </c>
      <c r="H2" s="361" t="s">
        <v>177</v>
      </c>
      <c r="I2" s="361" t="s">
        <v>178</v>
      </c>
      <c r="J2" s="359">
        <v>2010</v>
      </c>
      <c r="K2" s="360" t="s">
        <v>179</v>
      </c>
      <c r="L2" s="361" t="s">
        <v>180</v>
      </c>
      <c r="M2" s="361" t="s">
        <v>181</v>
      </c>
      <c r="N2" s="361" t="s">
        <v>182</v>
      </c>
      <c r="O2" s="359">
        <v>2011</v>
      </c>
      <c r="P2" s="360" t="s">
        <v>183</v>
      </c>
      <c r="Q2" s="361" t="s">
        <v>184</v>
      </c>
      <c r="R2" s="361" t="s">
        <v>185</v>
      </c>
      <c r="S2" s="361" t="s">
        <v>186</v>
      </c>
      <c r="T2" s="359">
        <v>2012</v>
      </c>
      <c r="U2" s="360" t="s">
        <v>187</v>
      </c>
      <c r="V2" s="361" t="s">
        <v>188</v>
      </c>
      <c r="W2" s="361" t="s">
        <v>189</v>
      </c>
      <c r="X2" s="361" t="s">
        <v>190</v>
      </c>
      <c r="Y2" s="359">
        <v>2013</v>
      </c>
      <c r="Z2" s="360" t="s">
        <v>191</v>
      </c>
      <c r="AA2" s="361" t="s">
        <v>192</v>
      </c>
      <c r="AB2" s="361" t="s">
        <v>193</v>
      </c>
      <c r="AC2" s="362" t="s">
        <v>194</v>
      </c>
      <c r="AD2" s="359">
        <v>2014</v>
      </c>
      <c r="AE2" s="360" t="s">
        <v>195</v>
      </c>
      <c r="AF2" s="361" t="s">
        <v>196</v>
      </c>
      <c r="AG2" s="361" t="s">
        <v>197</v>
      </c>
      <c r="AH2" s="362" t="s">
        <v>198</v>
      </c>
      <c r="AI2" s="359">
        <v>2015</v>
      </c>
      <c r="AJ2" s="360" t="s">
        <v>199</v>
      </c>
      <c r="AK2" s="361" t="s">
        <v>200</v>
      </c>
      <c r="AL2" s="361" t="s">
        <v>201</v>
      </c>
      <c r="AM2" s="362" t="s">
        <v>216</v>
      </c>
      <c r="AN2" s="359">
        <v>2016</v>
      </c>
    </row>
    <row r="3" spans="1:40" s="363" customFormat="1" ht="24" customHeight="1">
      <c r="A3" s="351" t="s">
        <v>202</v>
      </c>
      <c r="B3" s="364">
        <v>0.155</v>
      </c>
      <c r="C3" s="365">
        <v>0.21099999999999999</v>
      </c>
      <c r="D3" s="366">
        <v>0.317</v>
      </c>
      <c r="E3" s="365">
        <v>0.251</v>
      </c>
      <c r="F3" s="367">
        <v>0.32900000000000001</v>
      </c>
      <c r="G3" s="368">
        <v>0.29499999999999998</v>
      </c>
      <c r="H3" s="368">
        <v>0.28499999999999998</v>
      </c>
      <c r="I3" s="368">
        <v>0.191</v>
      </c>
      <c r="J3" s="366">
        <v>0.27500000000000002</v>
      </c>
      <c r="K3" s="367">
        <v>0.30870278738464518</v>
      </c>
      <c r="L3" s="368">
        <v>0.34613505621374752</v>
      </c>
      <c r="M3" s="368">
        <v>0.31878501150261895</v>
      </c>
      <c r="N3" s="368">
        <v>0.27406013939927337</v>
      </c>
      <c r="O3" s="366">
        <v>0.31073681541046316</v>
      </c>
      <c r="P3" s="367">
        <v>0.38466527099742531</v>
      </c>
      <c r="Q3" s="368">
        <v>0.3779041668709594</v>
      </c>
      <c r="R3" s="368">
        <v>0.4001250502295432</v>
      </c>
      <c r="S3" s="368">
        <v>0.32927622113037824</v>
      </c>
      <c r="T3" s="366">
        <v>0.37154971807437509</v>
      </c>
      <c r="U3" s="367">
        <v>0.3519157165072388</v>
      </c>
      <c r="V3" s="368">
        <v>0.34957890245592677</v>
      </c>
      <c r="W3" s="368">
        <v>0.3961214215056621</v>
      </c>
      <c r="X3" s="369">
        <v>0.34405245121739447</v>
      </c>
      <c r="Y3" s="366">
        <v>0.35944885852796471</v>
      </c>
      <c r="Z3" s="367">
        <v>0.38927182921261261</v>
      </c>
      <c r="AA3" s="368">
        <f>'[1]Rach. zysków i strat-nowy układ'!N31</f>
        <v>0.40603700097370976</v>
      </c>
      <c r="AB3" s="368">
        <f>'[1]Rach. zysków i strat-nowy układ'!O31</f>
        <v>0.37613655149611497</v>
      </c>
      <c r="AC3" s="369">
        <f>'[1]Rach. zysków i strat-nowy układ'!P31</f>
        <v>0.33211693308476481</v>
      </c>
      <c r="AD3" s="366">
        <f>'[1]Rach. zysków i strat-nowy układ'!Q31</f>
        <v>0.36954614772129168</v>
      </c>
      <c r="AE3" s="367">
        <f>'[1]Rach. zysków i strat-nowy układ'!R31</f>
        <v>0.38497209102619145</v>
      </c>
      <c r="AF3" s="368">
        <f>'[1]Rach. zysków i strat-nowy układ'!S31</f>
        <v>0.39567471245747615</v>
      </c>
      <c r="AG3" s="368">
        <f>'[1]Rach. zysków i strat-nowy układ'!T31</f>
        <v>0.3852747525777464</v>
      </c>
      <c r="AH3" s="369">
        <f>'[1]Rach. zysków i strat-nowy układ'!U31</f>
        <v>0.33759914172956829</v>
      </c>
      <c r="AI3" s="366">
        <f>'[1]Rach. zysków i strat-nowy układ'!V31</f>
        <v>0.37515015779293487</v>
      </c>
      <c r="AJ3" s="367">
        <f>'[1]Rach. zysków i strat-nowy układ'!W31</f>
        <v>0.35807952622673433</v>
      </c>
      <c r="AK3" s="368">
        <f>'[1]Rach. zysków i strat-nowy układ'!X31</f>
        <v>0.3827418232428671</v>
      </c>
      <c r="AL3" s="368">
        <f>'[1]Rach. zysków i strat-nowy układ'!Y31</f>
        <v>0.4007873356227491</v>
      </c>
      <c r="AM3" s="369">
        <f>'[1]Rach. zysków i strat-nowy układ'!Z31</f>
        <v>0.35592284328034396</v>
      </c>
      <c r="AN3" s="366">
        <f>'[1]Rach. zysków i strat-nowy układ'!AA31</f>
        <v>0.37419063084544396</v>
      </c>
    </row>
    <row r="4" spans="1:40" s="363" customFormat="1" ht="24" customHeight="1">
      <c r="A4" s="351" t="s">
        <v>203</v>
      </c>
      <c r="B4" s="364">
        <v>0.11600000000000001</v>
      </c>
      <c r="C4" s="365">
        <v>0.14399999999999999</v>
      </c>
      <c r="D4" s="366">
        <v>0.246</v>
      </c>
      <c r="E4" s="365">
        <v>0.182</v>
      </c>
      <c r="F4" s="367">
        <v>0.23</v>
      </c>
      <c r="G4" s="368">
        <v>0.182</v>
      </c>
      <c r="H4" s="368">
        <v>0.188</v>
      </c>
      <c r="I4" s="368">
        <v>9.8000000000000004E-2</v>
      </c>
      <c r="J4" s="366">
        <v>0.17399999999999999</v>
      </c>
      <c r="K4" s="367">
        <v>0.18967721753120198</v>
      </c>
      <c r="L4" s="368">
        <v>0.1105688210628496</v>
      </c>
      <c r="M4" s="368" t="s">
        <v>204</v>
      </c>
      <c r="N4" s="368">
        <v>0.10608165132384817</v>
      </c>
      <c r="O4" s="366">
        <v>6.7707133573549461E-2</v>
      </c>
      <c r="P4" s="367">
        <v>0.30649285055729641</v>
      </c>
      <c r="Q4" s="368">
        <v>0.13939020375571728</v>
      </c>
      <c r="R4" s="368">
        <v>0.266952761732768</v>
      </c>
      <c r="S4" s="368">
        <v>0.1620322508446396</v>
      </c>
      <c r="T4" s="366">
        <v>0.21535338337745638</v>
      </c>
      <c r="U4" s="367">
        <v>0.13643419081993929</v>
      </c>
      <c r="V4" s="368">
        <v>0.10971771925199814</v>
      </c>
      <c r="W4" s="368">
        <v>0.26051734065642024</v>
      </c>
      <c r="X4" s="369">
        <v>0.21631129917457795</v>
      </c>
      <c r="Y4" s="366">
        <v>0.18051820848101818</v>
      </c>
      <c r="Z4" s="367">
        <v>0.13582744164810381</v>
      </c>
      <c r="AA4" s="368">
        <f>'[1]Rach. zysków i strat-nowy układ'!N25/'[1]Rach. zysków i strat-nowy układ'!N4</f>
        <v>7.5662981843175381E-2</v>
      </c>
      <c r="AB4" s="368">
        <f>'[1]Rach. zysków i strat-nowy układ'!O25/'[1]Rach. zysków i strat-nowy układ'!O4</f>
        <v>1.9920648040998381E-2</v>
      </c>
      <c r="AC4" s="369">
        <f>'[1]Rach. zysków i strat-nowy układ'!P25/'[1]Rach. zysków i strat-nowy układ'!P4</f>
        <v>5.5531315695532789E-3</v>
      </c>
      <c r="AD4" s="366">
        <f>'[1]Rach. zysków i strat-nowy układ'!Q25/'[1]Rach. zysków i strat-nowy układ'!Q4</f>
        <v>3.94742169260043E-2</v>
      </c>
      <c r="AE4" s="367">
        <f>'[1]Rach. zysków i strat-nowy układ'!R25/'[1]Rach. zysków i strat-nowy układ'!R4</f>
        <v>7.3336195792185463E-2</v>
      </c>
      <c r="AF4" s="368">
        <f>'[1]Rach. zysków i strat-nowy układ'!S25/'[1]Rach. zysków i strat-nowy układ'!S4</f>
        <v>0.12331929369836385</v>
      </c>
      <c r="AG4" s="368">
        <f>'[1]Rach. zysków i strat-nowy układ'!T25/'[1]Rach. zysków i strat-nowy układ'!T4</f>
        <v>0.20808315044101192</v>
      </c>
      <c r="AH4" s="369">
        <f>'[1]Rach. zysków i strat-nowy układ'!U25/'[1]Rach. zysków i strat-nowy układ'!U4</f>
        <v>7.111383577914876E-2</v>
      </c>
      <c r="AI4" s="366">
        <f>'[1]Rach. zysków i strat-nowy układ'!V25/'[1]Rach. zysków i strat-nowy układ'!V4</f>
        <v>0.11843632291560617</v>
      </c>
      <c r="AJ4" s="367">
        <f>'[1]Rach. zysków i strat-nowy układ'!W25/'[1]Rach. zysków i strat-nowy układ'!W4</f>
        <v>7.5507614213197988E-2</v>
      </c>
      <c r="AK4" s="368">
        <f>'[1]Rach. zysków i strat-nowy układ'!X25/'[1]Rach. zysków i strat-nowy układ'!X4</f>
        <v>9.4518809611527338E-2</v>
      </c>
      <c r="AL4" s="368">
        <f>'[1]Rach. zysków i strat-nowy układ'!Y25/'[1]Rach. zysków i strat-nowy układ'!Y4</f>
        <v>0.11299103777535824</v>
      </c>
      <c r="AM4" s="369">
        <f>'[1]Rach. zysków i strat-nowy układ'!Z25/'[1]Rach. zysków i strat-nowy układ'!Z4</f>
        <v>0.134827028519585</v>
      </c>
      <c r="AN4" s="366">
        <f>'[1]Rach. zysków i strat-nowy układ'!AA25/'[1]Rach. zysków i strat-nowy układ'!AA4</f>
        <v>0.10493535324467103</v>
      </c>
    </row>
    <row r="5" spans="1:40" s="6" customFormat="1" ht="24" customHeight="1">
      <c r="A5" s="352" t="s">
        <v>205</v>
      </c>
      <c r="B5" s="364">
        <v>0.158</v>
      </c>
      <c r="C5" s="365">
        <v>0.191</v>
      </c>
      <c r="D5" s="366">
        <v>0.35599999999999998</v>
      </c>
      <c r="E5" s="365">
        <v>0.29699999999999999</v>
      </c>
      <c r="F5" s="367">
        <v>0.10100000000000001</v>
      </c>
      <c r="G5" s="368">
        <v>7.0999999999999994E-2</v>
      </c>
      <c r="H5" s="368">
        <v>6.9000000000000006E-2</v>
      </c>
      <c r="I5" s="368">
        <v>3.5999999999999997E-2</v>
      </c>
      <c r="J5" s="366">
        <v>0.255</v>
      </c>
      <c r="K5" s="367">
        <v>6.2271468324674333E-2</v>
      </c>
      <c r="L5" s="368">
        <v>1.3239521157757844E-2</v>
      </c>
      <c r="M5" s="368" t="s">
        <v>204</v>
      </c>
      <c r="N5" s="368">
        <v>1.4264993041101997E-2</v>
      </c>
      <c r="O5" s="366">
        <v>2.9950184610851395E-2</v>
      </c>
      <c r="P5" s="367">
        <v>3.7273881405565285E-2</v>
      </c>
      <c r="Q5" s="368">
        <v>1.7775372865166162E-2</v>
      </c>
      <c r="R5" s="368">
        <v>3.1199624869035991E-2</v>
      </c>
      <c r="S5" s="368">
        <v>2.1869529763033944E-2</v>
      </c>
      <c r="T5" s="366">
        <v>0.10758152928832863</v>
      </c>
      <c r="U5" s="367">
        <v>1.6894118349245417E-2</v>
      </c>
      <c r="V5" s="368">
        <v>1.4437552333780404E-2</v>
      </c>
      <c r="W5" s="368">
        <v>3.1520471398527435E-2</v>
      </c>
      <c r="X5" s="369">
        <v>3.0503344649529706E-2</v>
      </c>
      <c r="Y5" s="366">
        <v>9.2569363820704936E-2</v>
      </c>
      <c r="Z5" s="367">
        <v>1.6778114005449145E-2</v>
      </c>
      <c r="AA5" s="368">
        <f>'[1]Rach. zysków i strat-nowy układ'!N25/[1]Bilans!AA33</f>
        <v>4.7471709233085704E-3</v>
      </c>
      <c r="AB5" s="368">
        <f>'[1]Rach. zysków i strat-nowy układ'!O25/[1]Bilans!AB33</f>
        <v>1.7539263205391209E-3</v>
      </c>
      <c r="AC5" s="369">
        <f>'[1]Rach. zysków i strat-nowy układ'!P25/[1]Bilans!AC33</f>
        <v>5.1209457655268075E-4</v>
      </c>
      <c r="AD5" s="366">
        <f>'[1]Rach. zysków i strat-nowy układ'!Q25/[1]Bilans!AC33</f>
        <v>1.0699118831546462E-2</v>
      </c>
      <c r="AE5" s="367">
        <f>'[1]Rach. zysków i strat-nowy układ'!R25/[1]Bilans!AD33</f>
        <v>6.3051655844275677E-3</v>
      </c>
      <c r="AF5" s="368">
        <f>'[1]Rach. zysków i strat-nowy układ'!S25/[1]Bilans!AE33</f>
        <v>1.1218857997627276E-2</v>
      </c>
      <c r="AG5" s="368">
        <f>'[1]Rach. zysków i strat-nowy układ'!T25/[1]Bilans!AF33</f>
        <v>1.9220838831831989E-2</v>
      </c>
      <c r="AH5" s="369">
        <f>'[1]Rach. zysków i strat-nowy układ'!U25/[1]Bilans!AG33</f>
        <v>7.0063910668514045E-3</v>
      </c>
      <c r="AI5" s="366">
        <f>'[1]Rach. zysków i strat-nowy układ'!V25/[1]Bilans!AG33</f>
        <v>4.3918294004175129E-2</v>
      </c>
      <c r="AJ5" s="367">
        <f>'[1]Rach. zysków i strat-nowy układ'!W25/[1]Bilans!AH33</f>
        <v>6.2950750295357192E-3</v>
      </c>
      <c r="AK5" s="368">
        <f>'[1]Rach. zysków i strat-nowy układ'!X25/[1]Bilans!AI33</f>
        <v>8.3716748062985218E-3</v>
      </c>
      <c r="AL5" s="368">
        <f>'[1]Rach. zysków i strat-nowy układ'!Y25/[1]Bilans!AJ33</f>
        <v>9.8133713549945403E-3</v>
      </c>
      <c r="AM5" s="369">
        <f>'[1]Rach. zysków i strat-nowy układ'!Z25/[1]Bilans!AK33</f>
        <v>1.232631187949209E-2</v>
      </c>
      <c r="AN5" s="366">
        <f>'[1]Rach. zysków i strat-nowy układ'!AA25/[1]Bilans!AK33</f>
        <v>3.6820258715510319E-2</v>
      </c>
    </row>
    <row r="6" spans="1:40" s="6" customFormat="1" ht="24" customHeight="1">
      <c r="A6" s="352" t="s">
        <v>206</v>
      </c>
      <c r="B6" s="364" t="s">
        <v>204</v>
      </c>
      <c r="C6" s="365" t="s">
        <v>204</v>
      </c>
      <c r="D6" s="366">
        <v>11.443</v>
      </c>
      <c r="E6" s="365">
        <v>2.5009999999999999</v>
      </c>
      <c r="F6" s="367">
        <v>0.26700000000000002</v>
      </c>
      <c r="G6" s="368">
        <v>0.26200000000000001</v>
      </c>
      <c r="H6" s="368">
        <v>0.21199999999999999</v>
      </c>
      <c r="I6" s="368">
        <v>9.5000000000000001E-2</v>
      </c>
      <c r="J6" s="366">
        <v>1.5249999999999999</v>
      </c>
      <c r="K6" s="367">
        <v>0.17852586122288744</v>
      </c>
      <c r="L6" s="368">
        <v>3.8577428856174406E-2</v>
      </c>
      <c r="M6" s="368" t="s">
        <v>204</v>
      </c>
      <c r="N6" s="368">
        <v>4.1927279961049509E-2</v>
      </c>
      <c r="O6" s="366">
        <v>9.1999999999999998E-2</v>
      </c>
      <c r="P6" s="367">
        <v>0.10877317095676947</v>
      </c>
      <c r="Q6" s="368">
        <v>4.7546166174335783E-2</v>
      </c>
      <c r="R6" s="368">
        <v>7.8824364260900753E-2</v>
      </c>
      <c r="S6" s="368">
        <v>5.1825928219061103E-2</v>
      </c>
      <c r="T6" s="366">
        <v>0.31992749070239374</v>
      </c>
      <c r="U6" s="367">
        <v>3.854988705193179E-2</v>
      </c>
      <c r="V6" s="368">
        <v>3.1460520932769673E-2</v>
      </c>
      <c r="W6" s="368">
        <v>6.6607225701146078E-2</v>
      </c>
      <c r="X6" s="369">
        <v>6.122340013627673E-2</v>
      </c>
      <c r="Y6" s="366">
        <v>0.21223515288993153</v>
      </c>
      <c r="Z6" s="367">
        <v>3.2613364596168266E-2</v>
      </c>
      <c r="AA6" s="368">
        <f>'[1]Rach. zysków i strat-nowy układ'!N25/([1]Bilans!AA45-'[1]Rach. zysków i strat-nowy układ'!N25)</f>
        <v>1.4743961784008204E-2</v>
      </c>
      <c r="AB6" s="368">
        <f>'[1]Rach. zysków i strat-nowy układ'!O25/([1]Bilans!AB45-'[1]Rach. zysków i strat-nowy układ'!O25)</f>
        <v>5.3069088907238835E-3</v>
      </c>
      <c r="AC6" s="369">
        <f>'[1]Rach. zysków i strat-nowy układ'!P25/([1]Bilans!AC45-'[1]Rach. zysków i strat-nowy układ'!P25)</f>
        <v>1.5445378522098774E-3</v>
      </c>
      <c r="AD6" s="366">
        <f>'[1]Rach. zysków i strat-nowy układ'!Q25/([1]Bilans!AC45-'[1]Rach. zysków i strat-nowy układ'!Q25)</f>
        <v>3.3292737061360989E-2</v>
      </c>
      <c r="AE6" s="367">
        <f>'[1]Rach. zysków i strat-nowy układ'!R25/([1]Bilans!AD45-'[1]Rach. zysków i strat-nowy układ'!R25)</f>
        <v>1.8684840992878312E-2</v>
      </c>
      <c r="AF6" s="368">
        <f>'[1]Rach. zysków i strat-nowy układ'!S25/([1]Bilans!AE45-'[1]Rach. zysków i strat-nowy układ'!S25)</f>
        <v>3.2907179060443298E-2</v>
      </c>
      <c r="AG6" s="368">
        <f>'[1]Rach. zysków i strat-nowy układ'!T25/([1]Bilans!AF45-'[1]Rach. zysków i strat-nowy układ'!T25)</f>
        <v>5.2576510593774481E-2</v>
      </c>
      <c r="AH6" s="369">
        <f>'[1]Rach. zysków i strat-nowy układ'!U25/([1]Bilans!AG45-'[1]Rach. zysków i strat-nowy układ'!U25)</f>
        <v>1.8441055193998745E-2</v>
      </c>
      <c r="AI6" s="366">
        <f>'[1]Rach. zysków i strat-nowy układ'!V25/([1]Bilans!AG45-'[1]Rach. zysków i strat-nowy układ'!V25)</f>
        <v>0.12803327940836601</v>
      </c>
      <c r="AJ6" s="367">
        <f>'[1]Rach. zysków i strat-nowy układ'!W25/([1]Bilans!AH45-'[1]Rach. zysków i strat-nowy układ'!W25)</f>
        <v>1.7454310774736723E-2</v>
      </c>
      <c r="AK6" s="368">
        <f>'[1]Rach. zysków i strat-nowy układ'!X25/([1]Bilans!AI45-'[1]Rach. zysków i strat-nowy układ'!X25)</f>
        <v>2.1926367667866348E-2</v>
      </c>
      <c r="AL6" s="368">
        <f>'[1]Rach. zysków i strat-nowy układ'!Y25/([1]Bilans!AJ45-'[1]Rach. zysków i strat-nowy układ'!Y25)</f>
        <v>2.5065730185716849E-2</v>
      </c>
      <c r="AM6" s="369">
        <f>'[1]Rach. zysków i strat-nowy układ'!Z25/([1]Bilans!AK45-'[1]Rach. zysków i strat-nowy układ'!Z25)</f>
        <v>3.0971927726127686E-2</v>
      </c>
      <c r="AN6" s="366">
        <f>'[1]Rach. zysków i strat-nowy układ'!AA25/([1]Bilans!AK45-'[1]Rach. zysków i strat-nowy układ'!AA25)</f>
        <v>9.8584477531236128E-2</v>
      </c>
    </row>
    <row r="7" spans="1:40" s="4" customFormat="1" ht="24" customHeight="1">
      <c r="A7" s="352" t="s">
        <v>207</v>
      </c>
      <c r="B7" s="370">
        <v>0.6</v>
      </c>
      <c r="C7" s="371">
        <v>1.1000000000000001</v>
      </c>
      <c r="D7" s="372">
        <v>1.4</v>
      </c>
      <c r="E7" s="371">
        <v>1</v>
      </c>
      <c r="F7" s="373">
        <v>1.2</v>
      </c>
      <c r="G7" s="374">
        <v>0.9</v>
      </c>
      <c r="H7" s="374">
        <v>1</v>
      </c>
      <c r="I7" s="374">
        <v>0.9</v>
      </c>
      <c r="J7" s="372">
        <v>0.9</v>
      </c>
      <c r="K7" s="373">
        <v>0.99222253558666473</v>
      </c>
      <c r="L7" s="374">
        <v>1.1972812574503593</v>
      </c>
      <c r="M7" s="374">
        <v>1.1937547068795404</v>
      </c>
      <c r="N7" s="374">
        <v>1.1052998425278158</v>
      </c>
      <c r="O7" s="372">
        <v>1.1000000000000001</v>
      </c>
      <c r="P7" s="373">
        <v>1.2520302028925108</v>
      </c>
      <c r="Q7" s="374">
        <v>1.13470796163891</v>
      </c>
      <c r="R7" s="374">
        <v>1.0480052530350539</v>
      </c>
      <c r="S7" s="374">
        <v>1.0172641031890362</v>
      </c>
      <c r="T7" s="372">
        <v>1.0172641031890362</v>
      </c>
      <c r="U7" s="373">
        <v>1.1953668834873901</v>
      </c>
      <c r="V7" s="374">
        <v>1.1434662606816619</v>
      </c>
      <c r="W7" s="374">
        <v>1.2291320432164132</v>
      </c>
      <c r="X7" s="375">
        <v>1.2518939180227138</v>
      </c>
      <c r="Y7" s="372">
        <v>1.2518939180227138</v>
      </c>
      <c r="Z7" s="373">
        <v>1.3919076872487033</v>
      </c>
      <c r="AA7" s="374">
        <f>[1]Bilans!AA32/[1]Bilans!AA65</f>
        <v>1.1114925821972736</v>
      </c>
      <c r="AB7" s="374">
        <f>[1]Bilans!AB32/[1]Bilans!AB65</f>
        <v>0.94501659921971548</v>
      </c>
      <c r="AC7" s="375">
        <f>[1]Bilans!AC32/[1]Bilans!AC65</f>
        <v>0.95569502090756708</v>
      </c>
      <c r="AD7" s="372">
        <f>[1]Bilans!AC32/[1]Bilans!AC65</f>
        <v>0.95569502090756708</v>
      </c>
      <c r="AE7" s="373">
        <f>[1]Bilans!AD32/[1]Bilans!AD65</f>
        <v>0.95351583208829338</v>
      </c>
      <c r="AF7" s="374">
        <f>[1]Bilans!AE32/[1]Bilans!AE65</f>
        <v>1.0069261213720315</v>
      </c>
      <c r="AG7" s="374">
        <f>[1]Bilans!AF32/[1]Bilans!AF65</f>
        <v>0.47434112256006483</v>
      </c>
      <c r="AH7" s="375">
        <f>[1]Bilans!AG32/[1]Bilans!AG65</f>
        <v>0.49948621035847135</v>
      </c>
      <c r="AI7" s="372">
        <f>[1]Bilans!AG32/[1]Bilans!AG65</f>
        <v>0.49948621035847135</v>
      </c>
      <c r="AJ7" s="373">
        <f>[1]Bilans!AH32/[1]Bilans!AH65</f>
        <v>0.92874645654158483</v>
      </c>
      <c r="AK7" s="374">
        <f>[1]Bilans!AI32/[1]Bilans!AI65</f>
        <v>0.9143403550836332</v>
      </c>
      <c r="AL7" s="374">
        <f>[1]Bilans!AJ32/[1]Bilans!AJ65</f>
        <v>0.99730487345250907</v>
      </c>
      <c r="AM7" s="375">
        <f>[1]Bilans!AK32/[1]Bilans!AK65</f>
        <v>1.0242312289470821</v>
      </c>
      <c r="AN7" s="372">
        <f>[1]Bilans!AK32/[1]Bilans!AK65</f>
        <v>1.0242312289470821</v>
      </c>
    </row>
    <row r="8" spans="1:40" s="4" customFormat="1" ht="24" customHeight="1" thickBot="1">
      <c r="A8" s="376" t="s">
        <v>208</v>
      </c>
      <c r="B8" s="377">
        <v>1.177</v>
      </c>
      <c r="C8" s="378">
        <v>0.89700000000000002</v>
      </c>
      <c r="D8" s="379">
        <v>0.61299999999999999</v>
      </c>
      <c r="E8" s="378">
        <v>0.58399999999999996</v>
      </c>
      <c r="F8" s="380">
        <v>0.52300000000000002</v>
      </c>
      <c r="G8" s="381">
        <v>0.65900000000000003</v>
      </c>
      <c r="H8" s="381">
        <v>0.60299999999999998</v>
      </c>
      <c r="I8" s="381">
        <v>0.57799999999999996</v>
      </c>
      <c r="J8" s="379">
        <v>0.57799999999999996</v>
      </c>
      <c r="K8" s="380">
        <v>0.58891930091111089</v>
      </c>
      <c r="L8" s="381">
        <v>0.64356702219385198</v>
      </c>
      <c r="M8" s="381">
        <v>0.66091379189163646</v>
      </c>
      <c r="N8" s="381">
        <v>0.64550322816584982</v>
      </c>
      <c r="O8" s="379">
        <v>0.64600000000000002</v>
      </c>
      <c r="P8" s="380">
        <v>0.6200507963830475</v>
      </c>
      <c r="Q8" s="381">
        <v>0.60836960799428208</v>
      </c>
      <c r="R8" s="381">
        <v>0.57298843092335383</v>
      </c>
      <c r="S8" s="381">
        <v>0.55614999608907556</v>
      </c>
      <c r="T8" s="379">
        <v>0.55614999608907556</v>
      </c>
      <c r="U8" s="380">
        <v>0.54486547055728474</v>
      </c>
      <c r="V8" s="381">
        <v>0.52665229914601286</v>
      </c>
      <c r="W8" s="381">
        <v>0.49525051978561557</v>
      </c>
      <c r="X8" s="382">
        <v>0.47126649202023174</v>
      </c>
      <c r="Y8" s="379">
        <v>0.47126649202023174</v>
      </c>
      <c r="Z8" s="380">
        <v>0.46876671667355413</v>
      </c>
      <c r="AA8" s="381">
        <f>[1]Bilans!AA66/[1]Bilans!AA33</f>
        <v>0.67327892593910244</v>
      </c>
      <c r="AB8" s="381">
        <f>[1]Bilans!AB66/[1]Bilans!AB33</f>
        <v>0.66774740549903211</v>
      </c>
      <c r="AC8" s="382">
        <f>[1]Bilans!AC66/[1]Bilans!AC33</f>
        <v>0.66793699017975172</v>
      </c>
      <c r="AD8" s="379">
        <f>[1]Bilans!AC66/[1]Bilans!AC33</f>
        <v>0.66793699017975172</v>
      </c>
      <c r="AE8" s="380">
        <f>[1]Bilans!AD66/[1]Bilans!AD33</f>
        <v>0.65624665453377584</v>
      </c>
      <c r="AF8" s="381">
        <f>[1]Bilans!AE66/[1]Bilans!AE33</f>
        <v>0.64785681126528083</v>
      </c>
      <c r="AG8" s="381">
        <f>[1]Bilans!AF66/[1]Bilans!AF33</f>
        <v>0.61520071910800012</v>
      </c>
      <c r="AH8" s="382">
        <f>[1]Bilans!AG66/[1]Bilans!AG33</f>
        <v>0.61305921834949684</v>
      </c>
      <c r="AI8" s="379">
        <f>[1]Bilans!AG66/[1]Bilans!AG33</f>
        <v>0.61305921834949684</v>
      </c>
      <c r="AJ8" s="380">
        <f>[1]Bilans!AH66/[1]Bilans!AH33</f>
        <v>0.63304473558921559</v>
      </c>
      <c r="AK8" s="381">
        <f>[1]Bilans!AI66/[1]Bilans!AI33</f>
        <v>0.60981976788452963</v>
      </c>
      <c r="AL8" s="381">
        <f>[1]Bilans!AJ66/[1]Bilans!AJ33</f>
        <v>0.59868152930210516</v>
      </c>
      <c r="AM8" s="382">
        <f>[1]Bilans!AK66/[1]Bilans!AK33</f>
        <v>0.58969032755965733</v>
      </c>
      <c r="AN8" s="379">
        <f>[1]Bilans!AK66/[1]Bilans!AK33</f>
        <v>0.58969032755965733</v>
      </c>
    </row>
    <row r="12" spans="1:40" s="354" customFormat="1" ht="14.25">
      <c r="A12" s="353" t="s">
        <v>209</v>
      </c>
    </row>
    <row r="13" spans="1:40" s="354" customFormat="1" ht="14.25">
      <c r="A13" s="353" t="s">
        <v>210</v>
      </c>
    </row>
    <row r="14" spans="1:40" s="354" customFormat="1" ht="14.25">
      <c r="A14" s="353" t="s">
        <v>211</v>
      </c>
    </row>
    <row r="15" spans="1:40" s="354" customFormat="1" ht="14.25">
      <c r="A15" s="353" t="s">
        <v>212</v>
      </c>
    </row>
    <row r="16" spans="1:40" s="354" customFormat="1" ht="14.25">
      <c r="A16" s="353" t="s">
        <v>213</v>
      </c>
    </row>
    <row r="17" spans="1:1" s="354" customFormat="1" ht="14.25">
      <c r="A17" s="353" t="s">
        <v>214</v>
      </c>
    </row>
    <row r="18" spans="1:1" s="354" customFormat="1">
      <c r="A18" s="353"/>
    </row>
  </sheetData>
  <pageMargins left="0.70866141732283472" right="0.70866141732283472" top="0.74803149606299213" bottom="0.74803149606299213" header="0.31496062992125984" footer="0.31496062992125984"/>
  <pageSetup paperSize="9" scale="51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Consolidated income statement</vt:lpstr>
      <vt:lpstr>Segments</vt:lpstr>
      <vt:lpstr>Consolidated balance sheet</vt:lpstr>
      <vt:lpstr>Consolidated CF</vt:lpstr>
      <vt:lpstr>Financial ratios</vt:lpstr>
      <vt:lpstr>'Consolidated balance sheet'!Obszar_wydruku</vt:lpstr>
      <vt:lpstr>'Consolidated CF'!Obszar_wydruku</vt:lpstr>
      <vt:lpstr>'Consolidated income statement'!Obszar_wydruku</vt:lpstr>
      <vt:lpstr>'Consolidated CF'!OLE_LINK3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Agata Wiktorow</cp:lastModifiedBy>
  <cp:lastPrinted>2015-11-10T13:35:13Z</cp:lastPrinted>
  <dcterms:created xsi:type="dcterms:W3CDTF">2008-08-25T12:12:22Z</dcterms:created>
  <dcterms:modified xsi:type="dcterms:W3CDTF">2017-07-20T13:08:16Z</dcterms:modified>
</cp:coreProperties>
</file>